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264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X27" i="1" l="1"/>
  <c r="X26" i="1"/>
  <c r="X25" i="1"/>
  <c r="X18" i="1"/>
  <c r="U18" i="1"/>
  <c r="U27" i="1"/>
  <c r="U26" i="1"/>
  <c r="U25" i="1"/>
  <c r="X13" i="1"/>
  <c r="X7" i="1"/>
  <c r="U7" i="1"/>
  <c r="U13" i="1"/>
  <c r="Z7" i="1"/>
  <c r="W7" i="1"/>
  <c r="T7" i="1"/>
  <c r="W10" i="1"/>
  <c r="T10" i="1"/>
  <c r="W6" i="1"/>
  <c r="T6" i="1"/>
  <c r="C8" i="1"/>
  <c r="E25" i="1" l="1"/>
  <c r="D25" i="1"/>
  <c r="G24" i="1"/>
  <c r="H24" i="1"/>
  <c r="F24" i="1"/>
  <c r="E24" i="1"/>
  <c r="D24" i="1"/>
  <c r="H39" i="1" l="1"/>
  <c r="G39" i="1"/>
  <c r="G37" i="1"/>
  <c r="E39" i="1"/>
  <c r="C14" i="1" l="1"/>
  <c r="C10" i="1"/>
  <c r="C5" i="1"/>
  <c r="D35" i="1"/>
  <c r="F41" i="1"/>
  <c r="F36" i="1"/>
  <c r="F35" i="1"/>
  <c r="F34" i="1"/>
  <c r="D34" i="1" s="1"/>
  <c r="F33" i="1"/>
  <c r="D33" i="1" s="1"/>
  <c r="F32" i="1"/>
  <c r="F31" i="1"/>
  <c r="F30" i="1"/>
  <c r="D30" i="1" s="1"/>
  <c r="F29" i="1"/>
  <c r="D29" i="1" s="1"/>
  <c r="D36" i="1" s="1"/>
  <c r="C11" i="1" l="1"/>
  <c r="C15" i="1" s="1"/>
  <c r="V53" i="1"/>
  <c r="U53" i="1"/>
  <c r="T53" i="1"/>
  <c r="V51" i="1"/>
  <c r="U51" i="1"/>
  <c r="T51" i="1"/>
  <c r="V50" i="1"/>
  <c r="U50" i="1"/>
  <c r="T50" i="1"/>
  <c r="C16" i="1" l="1"/>
  <c r="C17" i="1" s="1"/>
  <c r="C20" i="1" s="1"/>
  <c r="U52" i="1"/>
  <c r="V52" i="1"/>
  <c r="T52" i="1"/>
  <c r="R79" i="1"/>
  <c r="R76" i="1"/>
  <c r="R73" i="1"/>
  <c r="J79" i="1"/>
  <c r="J76" i="1"/>
  <c r="J73" i="1"/>
  <c r="J78" i="1"/>
  <c r="K79" i="1"/>
  <c r="J75" i="1"/>
  <c r="J72" i="1"/>
  <c r="D79" i="1"/>
  <c r="D76" i="1"/>
  <c r="D73" i="1"/>
  <c r="K76" i="1" l="1"/>
  <c r="K73" i="1"/>
  <c r="H53" i="1"/>
  <c r="G53" i="1"/>
  <c r="E53" i="1"/>
  <c r="H44" i="1"/>
  <c r="H36" i="1"/>
  <c r="H47" i="1" s="1"/>
  <c r="G36" i="1"/>
  <c r="G47" i="1" s="1"/>
  <c r="E36" i="1"/>
  <c r="E47" i="1" s="1"/>
  <c r="Z13" i="1"/>
  <c r="W13" i="1"/>
  <c r="Z15" i="1"/>
  <c r="T13" i="1"/>
  <c r="T15" i="1" s="1"/>
  <c r="Z18" i="1"/>
  <c r="W18" i="1"/>
  <c r="T18" i="1"/>
  <c r="O49" i="1"/>
  <c r="O51" i="1" s="1"/>
  <c r="O46" i="1"/>
  <c r="O45" i="1"/>
  <c r="O42" i="1"/>
  <c r="Z33" i="1"/>
  <c r="N46" i="1"/>
  <c r="N42" i="1"/>
  <c r="N45" i="1"/>
  <c r="M45" i="1"/>
  <c r="N49" i="1"/>
  <c r="N51" i="1" s="1"/>
  <c r="M49" i="1"/>
  <c r="M51" i="1" s="1"/>
  <c r="M46" i="1"/>
  <c r="M47" i="1" s="1"/>
  <c r="M42" i="1"/>
  <c r="Z26" i="1"/>
  <c r="Z24" i="1"/>
  <c r="Z23" i="1"/>
  <c r="Z25" i="1" s="1"/>
  <c r="Z19" i="1"/>
  <c r="Z27" i="1"/>
  <c r="W26" i="1"/>
  <c r="W24" i="1"/>
  <c r="W23" i="1"/>
  <c r="W25" i="1" s="1"/>
  <c r="T26" i="1"/>
  <c r="T24" i="1"/>
  <c r="T23" i="1"/>
  <c r="T25" i="1" s="1"/>
  <c r="W19" i="1"/>
  <c r="W29" i="1" s="1"/>
  <c r="T19" i="1"/>
  <c r="T29" i="1" s="1"/>
  <c r="F14" i="1"/>
  <c r="F10" i="1"/>
  <c r="F5" i="1"/>
  <c r="H14" i="1"/>
  <c r="H10" i="1"/>
  <c r="H5" i="1"/>
  <c r="G14" i="1"/>
  <c r="G10" i="1"/>
  <c r="G5" i="1"/>
  <c r="P22" i="1"/>
  <c r="O22" i="1"/>
  <c r="P19" i="1"/>
  <c r="O19" i="1"/>
  <c r="P11" i="1"/>
  <c r="O11" i="1"/>
  <c r="P6" i="1"/>
  <c r="O6" i="1"/>
  <c r="N22" i="1"/>
  <c r="M22" i="1"/>
  <c r="N19" i="1"/>
  <c r="M19" i="1"/>
  <c r="N11" i="1"/>
  <c r="M11" i="1"/>
  <c r="N6" i="1"/>
  <c r="M6" i="1"/>
  <c r="E14" i="1"/>
  <c r="D14" i="1"/>
  <c r="E10" i="1"/>
  <c r="D10" i="1"/>
  <c r="E5" i="1"/>
  <c r="D5" i="1"/>
  <c r="G42" i="1" l="1"/>
  <c r="G45" i="1" s="1"/>
  <c r="E42" i="1"/>
  <c r="H42" i="1"/>
  <c r="H45" i="1" s="1"/>
  <c r="T28" i="1"/>
  <c r="W15" i="1"/>
  <c r="W31" i="1" s="1"/>
  <c r="N15" i="1"/>
  <c r="N47" i="1"/>
  <c r="O47" i="1"/>
  <c r="Z28" i="1"/>
  <c r="W28" i="1"/>
  <c r="Z29" i="1"/>
  <c r="Z31" i="1" s="1"/>
  <c r="E11" i="1"/>
  <c r="E15" i="1" s="1"/>
  <c r="E17" i="1" s="1"/>
  <c r="E20" i="1" s="1"/>
  <c r="E22" i="1" s="1"/>
  <c r="T31" i="1"/>
  <c r="F11" i="1"/>
  <c r="F15" i="1" s="1"/>
  <c r="F17" i="1" s="1"/>
  <c r="F20" i="1" s="1"/>
  <c r="F22" i="1" s="1"/>
  <c r="O15" i="1"/>
  <c r="D11" i="1"/>
  <c r="D15" i="1" s="1"/>
  <c r="D17" i="1" s="1"/>
  <c r="D20" i="1" s="1"/>
  <c r="D22" i="1" s="1"/>
  <c r="H11" i="1"/>
  <c r="H15" i="1" s="1"/>
  <c r="H17" i="1" s="1"/>
  <c r="H20" i="1" s="1"/>
  <c r="H22" i="1" s="1"/>
  <c r="G11" i="1"/>
  <c r="G15" i="1" s="1"/>
  <c r="G17" i="1" s="1"/>
  <c r="G20" i="1" s="1"/>
  <c r="G22" i="1" s="1"/>
  <c r="P31" i="1"/>
  <c r="O31" i="1"/>
  <c r="O33" i="1" s="1"/>
  <c r="P15" i="1"/>
  <c r="N31" i="1"/>
  <c r="M31" i="1"/>
  <c r="M15" i="1"/>
  <c r="E45" i="1" l="1"/>
  <c r="F42" i="1"/>
  <c r="N33" i="1"/>
  <c r="M33" i="1"/>
  <c r="P33" i="1"/>
</calcChain>
</file>

<file path=xl/sharedStrings.xml><?xml version="1.0" encoding="utf-8"?>
<sst xmlns="http://schemas.openxmlformats.org/spreadsheetml/2006/main" count="208" uniqueCount="169">
  <si>
    <t>Umsatzerlöse</t>
  </si>
  <si>
    <t>sbe</t>
  </si>
  <si>
    <t>Erträge</t>
  </si>
  <si>
    <t>Materialaufwand</t>
  </si>
  <si>
    <t>Personalaufwand</t>
  </si>
  <si>
    <t>Abschreibungen</t>
  </si>
  <si>
    <t>sba</t>
  </si>
  <si>
    <t>Aufwendungen</t>
  </si>
  <si>
    <t>Ergebnis der gewöhnlichen GT</t>
  </si>
  <si>
    <t>Zinserträge</t>
  </si>
  <si>
    <t>Zinsaufwand</t>
  </si>
  <si>
    <t>Finanzergebnis</t>
  </si>
  <si>
    <t>Ergebnis vor Steuern</t>
  </si>
  <si>
    <t>Steuern vom Eink./Ertrag</t>
  </si>
  <si>
    <t>Ergebnis nach Steuern</t>
  </si>
  <si>
    <t>Sonstige Steuern</t>
  </si>
  <si>
    <t>Gewinnabführungen</t>
  </si>
  <si>
    <t>Konzernjahresüberschuss</t>
  </si>
  <si>
    <t>Zuweisung zum Konzern-EK</t>
  </si>
  <si>
    <t>Anteil fremder Gesellschafter</t>
  </si>
  <si>
    <t>Bilanz</t>
  </si>
  <si>
    <t>AV</t>
  </si>
  <si>
    <t>immaterielle VG</t>
  </si>
  <si>
    <t>Sachanlagen</t>
  </si>
  <si>
    <t>Finanzanlagen</t>
  </si>
  <si>
    <t>in TEUR</t>
  </si>
  <si>
    <t>UV</t>
  </si>
  <si>
    <t>Vorräte</t>
  </si>
  <si>
    <t>Forderungen/Sonst. VG</t>
  </si>
  <si>
    <t>Liq. Mittel</t>
  </si>
  <si>
    <t>ARAP</t>
  </si>
  <si>
    <t>Akt.lat.St.</t>
  </si>
  <si>
    <t>Nicht durch EK gedeckter FB</t>
  </si>
  <si>
    <t>GuV</t>
  </si>
  <si>
    <t>Aktiva</t>
  </si>
  <si>
    <t>Passiva</t>
  </si>
  <si>
    <t>EK</t>
  </si>
  <si>
    <t>Rückstellungen</t>
  </si>
  <si>
    <t>Verbindlichkeiten</t>
  </si>
  <si>
    <t>PRAP</t>
  </si>
  <si>
    <t>Kontrolle</t>
  </si>
  <si>
    <t>Steuerrückstellungen</t>
  </si>
  <si>
    <t>Sonstige RSt.</t>
  </si>
  <si>
    <t>Bilanzsumme</t>
  </si>
  <si>
    <t>Anleihen</t>
  </si>
  <si>
    <t>Verb. KI</t>
  </si>
  <si>
    <t>Verb. L/L</t>
  </si>
  <si>
    <t>Verb. aus Transfer</t>
  </si>
  <si>
    <t>Verb. gg. stillen Gesell.</t>
  </si>
  <si>
    <t>sonst Verb.</t>
  </si>
  <si>
    <t>neue Gliederung</t>
  </si>
  <si>
    <t>alte Gliederung</t>
  </si>
  <si>
    <t>Strukturbilanz</t>
  </si>
  <si>
    <t>b. a. AV</t>
  </si>
  <si>
    <t>b. a. UV</t>
  </si>
  <si>
    <t>davon lfr.</t>
  </si>
  <si>
    <t>davon mfr.</t>
  </si>
  <si>
    <t>b. a. Fremdkapital</t>
  </si>
  <si>
    <t>RSt.</t>
  </si>
  <si>
    <t>Verb.</t>
  </si>
  <si>
    <t>Kontrolle:</t>
  </si>
  <si>
    <t>Summe</t>
  </si>
  <si>
    <t>b. a. EK</t>
  </si>
  <si>
    <t>(&gt; 5 J. RLZ)</t>
  </si>
  <si>
    <t>(1-5 J. RLZ)</t>
  </si>
  <si>
    <t>davon kfr. (ohne Liqu.-Abfluss)</t>
  </si>
  <si>
    <t>davon kfr. (mit. Liqu.-Abfluss)</t>
  </si>
  <si>
    <t>Umstrukturierungen</t>
  </si>
  <si>
    <t>(&lt;1 J RLZ)</t>
  </si>
  <si>
    <t>- FK nach Fristigkeiten sortiert</t>
  </si>
  <si>
    <t>Summe mfr. und lfr.</t>
  </si>
  <si>
    <t>Sicherheiten</t>
  </si>
  <si>
    <t>Grunschuld</t>
  </si>
  <si>
    <t>für Verbindl. KI</t>
  </si>
  <si>
    <t>Abtr. Ford./Verpf. Konto</t>
  </si>
  <si>
    <t>Sonst. Verbindl.</t>
  </si>
  <si>
    <t>Dienstbarkeit im Grundbuch</t>
  </si>
  <si>
    <t xml:space="preserve">Gegenüberstellung </t>
  </si>
  <si>
    <t>Ford./Sonst. VG./Liqu.M.</t>
  </si>
  <si>
    <t>Grundschulden/Dienstbark.</t>
  </si>
  <si>
    <t>Buchwert GSt./Bauten</t>
  </si>
  <si>
    <t>Überdeckung</t>
  </si>
  <si>
    <t>(aber, wer kauft ein Stadion?)</t>
  </si>
  <si>
    <t>sonst. finanz. Verpflichtungen</t>
  </si>
  <si>
    <t>Unterdeckung (-)/Überdeckung</t>
  </si>
  <si>
    <t>Wer sichert noch?</t>
  </si>
  <si>
    <t>Ausfallbürgschaften des Landes NRW?</t>
  </si>
  <si>
    <t>Tönnies?</t>
  </si>
  <si>
    <t>Stadt?</t>
  </si>
  <si>
    <t>Verb. ggü. Unt. mit BV</t>
  </si>
  <si>
    <t>- Verrechnung der A. lat. Steuern mit EK</t>
  </si>
  <si>
    <t>- ARAP in das UV integrieren</t>
  </si>
  <si>
    <t>Analyse der</t>
  </si>
  <si>
    <t>Spielbetrieb, Veranstaltungen</t>
  </si>
  <si>
    <t>Sponsoring</t>
  </si>
  <si>
    <t>Mediale Verwertungsrechte</t>
  </si>
  <si>
    <t>Transferentschädigungen</t>
  </si>
  <si>
    <t>Merchandising</t>
  </si>
  <si>
    <t>Catering</t>
  </si>
  <si>
    <t>Sonstige Erlöse</t>
  </si>
  <si>
    <t>davon außergewöhnlich</t>
  </si>
  <si>
    <t>davon periodenfremd</t>
  </si>
  <si>
    <t>"gewöhnlich und periodenbezug"</t>
  </si>
  <si>
    <t>Konzernkapitalflussrechnung</t>
  </si>
  <si>
    <t>CF aus laufender GT</t>
  </si>
  <si>
    <t>CF aus Inv.-Tätigkeit</t>
  </si>
  <si>
    <t>CF aus Finanzierungstätigkeit</t>
  </si>
  <si>
    <t>Delta Liq-Mittel</t>
  </si>
  <si>
    <t>Stadionauslastung</t>
  </si>
  <si>
    <t>Mediale Vermarktung</t>
  </si>
  <si>
    <t>Umsätze Spielbetrieb</t>
  </si>
  <si>
    <t>Ticketing und Catering</t>
  </si>
  <si>
    <t>Zentralvermarktung medialer Rechter</t>
  </si>
  <si>
    <t>Verein</t>
  </si>
  <si>
    <t>fünftgrößter Sportverein der Welt</t>
  </si>
  <si>
    <t>Zuschauer</t>
  </si>
  <si>
    <t>Schnitt 60.700 (Platz 3)</t>
  </si>
  <si>
    <t>Umsatzstärke</t>
  </si>
  <si>
    <t>Platz 3 der BL</t>
  </si>
  <si>
    <t>Veltinsarena</t>
  </si>
  <si>
    <t>Eröffnung 2001</t>
  </si>
  <si>
    <t>Europäischer Wettbewerb</t>
  </si>
  <si>
    <t>erstmals seit 2009 nicht qualifiziert</t>
  </si>
  <si>
    <t>Veranstaltungen (außer Sport)</t>
  </si>
  <si>
    <t>"äußerst erfolgreiches Jahr"</t>
  </si>
  <si>
    <t>zweitmeiste Besucher Deutschland (Multifunktionsarenen)</t>
  </si>
  <si>
    <t>einer von dreien in der BL (Freiburg, Mainz)</t>
  </si>
  <si>
    <t>Rekordums.!</t>
  </si>
  <si>
    <t>Analyse der Abschreibungen</t>
  </si>
  <si>
    <t>Abschreibungsquoten</t>
  </si>
  <si>
    <t>Abschreibung/SAV zu Periodenende</t>
  </si>
  <si>
    <t>Spielerwerte zu PE</t>
  </si>
  <si>
    <t>Abschr.-Quote</t>
  </si>
  <si>
    <t>Nettoinvestitionsdeckung</t>
  </si>
  <si>
    <t>finanzw. CF/Nettoinv.</t>
  </si>
  <si>
    <t>CF</t>
  </si>
  <si>
    <t>Netto-Investitionen</t>
  </si>
  <si>
    <t>= Bruttoinv. - Abgänge RBW</t>
  </si>
  <si>
    <t>"Investitionskraft"</t>
  </si>
  <si>
    <t>kann S04 aus laufender GT die Ersatz-/</t>
  </si>
  <si>
    <t>Erweiterungsinvestitionen finanzieren</t>
  </si>
  <si>
    <t>relatives Alter der "Sachanlagen"</t>
  </si>
  <si>
    <t>Nettoinv.-Grad</t>
  </si>
  <si>
    <t>RBW (PE)/hist. AHK (PE)</t>
  </si>
  <si>
    <t>RBW (Spielerw)</t>
  </si>
  <si>
    <t>hist. AHK (Sp.)</t>
  </si>
  <si>
    <t>relatives Alter</t>
  </si>
  <si>
    <t>der Verträge</t>
  </si>
  <si>
    <t>je größer, umso geringer Durchschnittsalter</t>
  </si>
  <si>
    <t>UE ohne Transfer</t>
  </si>
  <si>
    <t>Analyse Zinsaufwand</t>
  </si>
  <si>
    <t>Basis</t>
  </si>
  <si>
    <r>
      <rPr>
        <sz val="11"/>
        <color theme="1"/>
        <rFont val="Calibri"/>
        <family val="2"/>
      </rPr>
      <t xml:space="preserve">Ø </t>
    </r>
    <r>
      <rPr>
        <sz val="11"/>
        <color theme="1"/>
        <rFont val="Calibri"/>
        <family val="2"/>
        <scheme val="minor"/>
      </rPr>
      <t>Anleihen</t>
    </r>
  </si>
  <si>
    <r>
      <rPr>
        <sz val="11"/>
        <color theme="1"/>
        <rFont val="Calibri"/>
        <family val="2"/>
      </rPr>
      <t xml:space="preserve">Ø </t>
    </r>
    <r>
      <rPr>
        <sz val="11"/>
        <color theme="1"/>
        <rFont val="Calibri"/>
        <family val="2"/>
        <scheme val="minor"/>
      </rPr>
      <t>Verb. KI</t>
    </r>
  </si>
  <si>
    <t>Belastung in %</t>
  </si>
  <si>
    <t xml:space="preserve">Problem: wenn Stadion abbezahlt, kommt "Bauprojekt Berger Feld" (25 Mio. zzgl. 95 Mio.), dann wieder Arena etc. </t>
  </si>
  <si>
    <t>entspricht Zinsentwicklung, diese aber auch abhängig vom Verschuldungsgrad und Besicherung</t>
  </si>
  <si>
    <t>davon 14 Mio aktivert und 6 Mio zum BST beauftragt</t>
  </si>
  <si>
    <t>Veränderung</t>
  </si>
  <si>
    <t>Plan</t>
  </si>
  <si>
    <t>nachrichtlich: der Plan ist/war:</t>
  </si>
  <si>
    <t>Differenz zum Plan:</t>
  </si>
  <si>
    <t>bei stab. PA</t>
  </si>
  <si>
    <t>PA-Quote (zu UE)</t>
  </si>
  <si>
    <t>Lüdenscheid-Nord</t>
  </si>
  <si>
    <t>mfr./langfristiges UV</t>
  </si>
  <si>
    <r>
      <rPr>
        <b/>
        <sz val="11"/>
        <color theme="1"/>
        <rFont val="Calibri"/>
        <family val="2"/>
        <scheme val="minor"/>
      </rPr>
      <t xml:space="preserve">kfr. </t>
    </r>
    <r>
      <rPr>
        <sz val="11"/>
        <color theme="1"/>
        <rFont val="Calibri"/>
        <family val="2"/>
        <scheme val="minor"/>
      </rPr>
      <t>Forderungen/Sonst. VG</t>
    </r>
  </si>
  <si>
    <t>- mfr. UV in das b.a. AV</t>
  </si>
  <si>
    <t>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</si>
</sst>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8">
    <xf numFmtId="0" fontId="0" fillId="0" borderId="0" xfId="0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Font="1"/>
    <xf numFmtId="0" fontId="2" fillId="2" borderId="0" xfId="0" applyFont="1" applyFill="1"/>
    <xf numFmtId="3" fontId="0" fillId="0" borderId="0" xfId="0" applyNumberFormat="1" applyFont="1"/>
    <xf numFmtId="0" fontId="2" fillId="2" borderId="1" xfId="0" applyFont="1" applyFill="1" applyBorder="1"/>
    <xf numFmtId="3" fontId="0" fillId="0" borderId="1" xfId="0" applyNumberFormat="1" applyBorder="1"/>
    <xf numFmtId="3" fontId="2" fillId="0" borderId="1" xfId="0" applyNumberFormat="1" applyFont="1" applyBorder="1"/>
    <xf numFmtId="0" fontId="0" fillId="0" borderId="1" xfId="0" applyBorder="1"/>
    <xf numFmtId="3" fontId="0" fillId="2" borderId="0" xfId="0" applyNumberFormat="1" applyFill="1"/>
    <xf numFmtId="3" fontId="0" fillId="2" borderId="1" xfId="0" applyNumberFormat="1" applyFill="1" applyBorder="1"/>
    <xf numFmtId="0" fontId="3" fillId="0" borderId="0" xfId="0" applyFont="1"/>
    <xf numFmtId="3" fontId="3" fillId="0" borderId="0" xfId="0" applyNumberFormat="1" applyFont="1"/>
    <xf numFmtId="0" fontId="2" fillId="0" borderId="2" xfId="0" applyFont="1" applyBorder="1"/>
    <xf numFmtId="0" fontId="0" fillId="0" borderId="2" xfId="0" applyBorder="1"/>
    <xf numFmtId="3" fontId="2" fillId="0" borderId="2" xfId="0" applyNumberFormat="1" applyFont="1" applyBorder="1"/>
    <xf numFmtId="3" fontId="0" fillId="0" borderId="2" xfId="0" applyNumberFormat="1" applyBorder="1"/>
    <xf numFmtId="3" fontId="0" fillId="0" borderId="3" xfId="0" applyNumberFormat="1" applyBorder="1"/>
    <xf numFmtId="0" fontId="2" fillId="0" borderId="4" xfId="0" applyFont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0" fillId="2" borderId="2" xfId="0" applyNumberFormat="1" applyFill="1" applyBorder="1"/>
    <xf numFmtId="3" fontId="0" fillId="2" borderId="3" xfId="0" applyNumberFormat="1" applyFill="1" applyBorder="1"/>
    <xf numFmtId="0" fontId="0" fillId="0" borderId="4" xfId="0" applyBorder="1"/>
    <xf numFmtId="0" fontId="2" fillId="0" borderId="6" xfId="0" applyFont="1" applyBorder="1"/>
    <xf numFmtId="0" fontId="0" fillId="0" borderId="6" xfId="0" applyBorder="1"/>
    <xf numFmtId="3" fontId="2" fillId="0" borderId="6" xfId="0" applyNumberFormat="1" applyFont="1" applyBorder="1"/>
    <xf numFmtId="3" fontId="2" fillId="0" borderId="7" xfId="0" applyNumberFormat="1" applyFont="1" applyBorder="1"/>
    <xf numFmtId="0" fontId="0" fillId="0" borderId="8" xfId="0" applyFont="1" applyBorder="1"/>
    <xf numFmtId="0" fontId="0" fillId="0" borderId="8" xfId="0" applyBorder="1"/>
    <xf numFmtId="3" fontId="0" fillId="0" borderId="8" xfId="0" applyNumberFormat="1" applyBorder="1"/>
    <xf numFmtId="3" fontId="0" fillId="0" borderId="9" xfId="0" applyNumberFormat="1" applyBorder="1"/>
    <xf numFmtId="0" fontId="0" fillId="0" borderId="2" xfId="0" applyFont="1" applyBorder="1"/>
    <xf numFmtId="0" fontId="0" fillId="0" borderId="0" xfId="0" quotePrefix="1" applyFont="1"/>
    <xf numFmtId="3" fontId="4" fillId="0" borderId="0" xfId="0" applyNumberFormat="1" applyFont="1"/>
    <xf numFmtId="3" fontId="1" fillId="0" borderId="0" xfId="0" applyNumberFormat="1" applyFont="1"/>
    <xf numFmtId="0" fontId="1" fillId="0" borderId="0" xfId="0" applyFont="1"/>
    <xf numFmtId="3" fontId="2" fillId="0" borderId="2" xfId="0" applyNumberFormat="1" applyFont="1" applyFill="1" applyBorder="1"/>
    <xf numFmtId="3" fontId="0" fillId="0" borderId="2" xfId="0" applyNumberFormat="1" applyFont="1" applyBorder="1"/>
    <xf numFmtId="9" fontId="0" fillId="0" borderId="0" xfId="0" applyNumberFormat="1"/>
    <xf numFmtId="9" fontId="0" fillId="0" borderId="0" xfId="1" applyFont="1"/>
    <xf numFmtId="0" fontId="0" fillId="0" borderId="0" xfId="0" quotePrefix="1"/>
    <xf numFmtId="9" fontId="0" fillId="0" borderId="2" xfId="1" applyFont="1" applyBorder="1"/>
    <xf numFmtId="9" fontId="2" fillId="0" borderId="0" xfId="1" applyFont="1"/>
    <xf numFmtId="0" fontId="2" fillId="0" borderId="0" xfId="0" applyFont="1" applyAlignment="1">
      <alignment horizontal="center"/>
    </xf>
    <xf numFmtId="3" fontId="0" fillId="3" borderId="0" xfId="0" applyNumberFormat="1" applyFill="1"/>
    <xf numFmtId="0" fontId="0" fillId="2" borderId="0" xfId="0" applyFill="1"/>
    <xf numFmtId="3" fontId="2" fillId="2" borderId="0" xfId="0" applyNumberFormat="1" applyFont="1" applyFill="1"/>
    <xf numFmtId="3" fontId="2" fillId="2" borderId="0" xfId="0" applyNumberFormat="1" applyFont="1" applyFill="1" applyBorder="1"/>
    <xf numFmtId="0" fontId="0" fillId="0" borderId="10" xfId="0" applyBorder="1"/>
    <xf numFmtId="9" fontId="0" fillId="0" borderId="10" xfId="1" applyFont="1" applyBorder="1"/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3" fontId="1" fillId="0" borderId="2" xfId="0" applyNumberFormat="1" applyFont="1" applyBorder="1"/>
    <xf numFmtId="3" fontId="0" fillId="0" borderId="0" xfId="0" quotePrefix="1" applyNumberFormat="1"/>
    <xf numFmtId="1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"/>
  <sheetViews>
    <sheetView tabSelected="1" workbookViewId="0">
      <selection activeCell="A5" sqref="A5"/>
    </sheetView>
  </sheetViews>
  <sheetFormatPr baseColWidth="10" defaultRowHeight="15" x14ac:dyDescent="0.25"/>
  <cols>
    <col min="2" max="2" width="17.7109375" customWidth="1"/>
    <col min="18" max="18" width="29.28515625" customWidth="1"/>
  </cols>
  <sheetData>
    <row r="1" spans="1:26" x14ac:dyDescent="0.25">
      <c r="C1" t="s">
        <v>159</v>
      </c>
      <c r="D1" t="s">
        <v>50</v>
      </c>
      <c r="G1" s="10" t="s">
        <v>51</v>
      </c>
      <c r="J1" s="5" t="s">
        <v>20</v>
      </c>
      <c r="K1" s="5" t="s">
        <v>34</v>
      </c>
      <c r="L1" s="2" t="s">
        <v>25</v>
      </c>
      <c r="M1" s="5">
        <v>2017</v>
      </c>
      <c r="N1" s="5">
        <v>2016</v>
      </c>
      <c r="O1" s="5">
        <v>2015</v>
      </c>
      <c r="P1" s="5">
        <v>2014</v>
      </c>
      <c r="R1" s="5" t="s">
        <v>52</v>
      </c>
      <c r="T1" s="5">
        <v>2017</v>
      </c>
      <c r="U1" s="53" t="s">
        <v>168</v>
      </c>
      <c r="V1" s="5"/>
      <c r="W1" s="5">
        <v>2016</v>
      </c>
      <c r="X1" s="5"/>
      <c r="Y1" s="5"/>
      <c r="Z1" s="5">
        <v>2015</v>
      </c>
    </row>
    <row r="2" spans="1:26" x14ac:dyDescent="0.25">
      <c r="A2" s="5" t="s">
        <v>33</v>
      </c>
      <c r="B2" s="2" t="s">
        <v>25</v>
      </c>
      <c r="C2" s="5">
        <v>2018</v>
      </c>
      <c r="D2" s="5">
        <v>2017</v>
      </c>
      <c r="E2" s="5">
        <v>2016</v>
      </c>
      <c r="F2" s="5">
        <v>2015</v>
      </c>
      <c r="G2" s="7">
        <v>2015</v>
      </c>
      <c r="H2" s="5">
        <v>2014</v>
      </c>
      <c r="J2" s="2" t="s">
        <v>21</v>
      </c>
      <c r="R2" s="2" t="s">
        <v>53</v>
      </c>
    </row>
    <row r="3" spans="1:26" x14ac:dyDescent="0.25">
      <c r="A3" t="s">
        <v>0</v>
      </c>
      <c r="C3" s="47">
        <v>257700</v>
      </c>
      <c r="D3" s="1">
        <v>240072</v>
      </c>
      <c r="E3" s="1">
        <v>265104</v>
      </c>
      <c r="F3" s="1">
        <v>264719</v>
      </c>
      <c r="G3" s="8">
        <v>264488</v>
      </c>
      <c r="H3" s="1">
        <v>215302</v>
      </c>
      <c r="J3" t="s">
        <v>22</v>
      </c>
      <c r="M3" s="1">
        <v>96123</v>
      </c>
      <c r="N3" s="1">
        <v>70780</v>
      </c>
      <c r="O3" s="1">
        <v>40173</v>
      </c>
      <c r="P3" s="1">
        <v>26109</v>
      </c>
      <c r="R3" t="s">
        <v>22</v>
      </c>
      <c r="T3" s="1">
        <v>96123</v>
      </c>
      <c r="U3" s="1"/>
      <c r="V3" s="1"/>
      <c r="W3" s="1">
        <v>70780</v>
      </c>
      <c r="X3" s="1"/>
      <c r="Y3" s="1"/>
      <c r="Z3" s="1">
        <v>40173</v>
      </c>
    </row>
    <row r="4" spans="1:26" x14ac:dyDescent="0.25">
      <c r="A4" s="16" t="s">
        <v>1</v>
      </c>
      <c r="B4" s="16"/>
      <c r="C4" s="18">
        <v>4000</v>
      </c>
      <c r="D4" s="18">
        <v>3939</v>
      </c>
      <c r="E4" s="18">
        <v>4220</v>
      </c>
      <c r="F4" s="18">
        <v>5247</v>
      </c>
      <c r="G4" s="19">
        <v>5478</v>
      </c>
      <c r="H4" s="18">
        <v>10908</v>
      </c>
      <c r="J4" t="s">
        <v>23</v>
      </c>
      <c r="M4" s="1">
        <v>95556</v>
      </c>
      <c r="N4" s="1">
        <v>97117</v>
      </c>
      <c r="O4" s="1">
        <v>100012</v>
      </c>
      <c r="P4" s="1">
        <v>102262</v>
      </c>
      <c r="R4" t="s">
        <v>23</v>
      </c>
      <c r="T4" s="1">
        <v>95556</v>
      </c>
      <c r="U4" s="1"/>
      <c r="V4" s="1"/>
      <c r="W4" s="1">
        <v>97117</v>
      </c>
      <c r="X4" s="1"/>
      <c r="Y4" s="1"/>
      <c r="Z4" s="1">
        <v>100012</v>
      </c>
    </row>
    <row r="5" spans="1:26" x14ac:dyDescent="0.25">
      <c r="A5" s="20" t="s">
        <v>2</v>
      </c>
      <c r="B5" s="20"/>
      <c r="C5" s="21">
        <f t="shared" ref="C5:H5" si="0">C3+C4</f>
        <v>261700</v>
      </c>
      <c r="D5" s="21">
        <f t="shared" si="0"/>
        <v>244011</v>
      </c>
      <c r="E5" s="21">
        <f t="shared" si="0"/>
        <v>269324</v>
      </c>
      <c r="F5" s="21">
        <f t="shared" si="0"/>
        <v>269966</v>
      </c>
      <c r="G5" s="22">
        <f t="shared" si="0"/>
        <v>269966</v>
      </c>
      <c r="H5" s="21">
        <f t="shared" si="0"/>
        <v>226210</v>
      </c>
      <c r="J5" t="s">
        <v>24</v>
      </c>
      <c r="M5">
        <v>20</v>
      </c>
      <c r="N5">
        <v>20</v>
      </c>
      <c r="O5" s="1">
        <v>20</v>
      </c>
      <c r="P5" s="1">
        <v>20</v>
      </c>
      <c r="R5" t="s">
        <v>24</v>
      </c>
      <c r="T5">
        <v>20</v>
      </c>
      <c r="W5">
        <v>20</v>
      </c>
      <c r="Z5" s="1">
        <v>20</v>
      </c>
    </row>
    <row r="6" spans="1:26" x14ac:dyDescent="0.25">
      <c r="A6" t="s">
        <v>3</v>
      </c>
      <c r="C6" s="1">
        <v>12500</v>
      </c>
      <c r="D6" s="1">
        <v>12388</v>
      </c>
      <c r="E6" s="1">
        <v>12167</v>
      </c>
      <c r="F6" s="11">
        <v>14238</v>
      </c>
      <c r="G6" s="12">
        <v>64948</v>
      </c>
      <c r="H6" s="1">
        <v>53023</v>
      </c>
      <c r="M6" s="3">
        <f>M3+M4+M5</f>
        <v>191699</v>
      </c>
      <c r="N6" s="3">
        <f>N3+N4+N5</f>
        <v>167917</v>
      </c>
      <c r="O6" s="3">
        <f t="shared" ref="O6:P6" si="1">O3+O4+O5</f>
        <v>140205</v>
      </c>
      <c r="P6" s="3">
        <f t="shared" si="1"/>
        <v>128391</v>
      </c>
      <c r="R6" t="s">
        <v>165</v>
      </c>
      <c r="T6" s="1">
        <f>1000+96+28</f>
        <v>1124</v>
      </c>
      <c r="U6" s="3"/>
      <c r="V6" s="3"/>
      <c r="W6" s="1">
        <f>4000+109+38</f>
        <v>4147</v>
      </c>
      <c r="Z6" s="1"/>
    </row>
    <row r="7" spans="1:26" x14ac:dyDescent="0.25">
      <c r="A7" t="s">
        <v>4</v>
      </c>
      <c r="C7" s="1">
        <v>112000</v>
      </c>
      <c r="D7" s="1">
        <v>123700</v>
      </c>
      <c r="E7" s="1">
        <v>110076</v>
      </c>
      <c r="F7" s="1">
        <v>111260</v>
      </c>
      <c r="G7" s="8">
        <v>111261</v>
      </c>
      <c r="H7" s="1">
        <v>114416</v>
      </c>
      <c r="J7" s="2" t="s">
        <v>26</v>
      </c>
      <c r="M7" s="1"/>
      <c r="N7" s="1"/>
      <c r="T7" s="3">
        <f>T3+T4+T5+T6</f>
        <v>192823</v>
      </c>
      <c r="U7" s="3">
        <f>U15*T7/T15</f>
        <v>89.315805807614097</v>
      </c>
      <c r="V7" s="1"/>
      <c r="W7" s="3">
        <f>W3+W4+W5+W6</f>
        <v>172064</v>
      </c>
      <c r="X7" s="3">
        <f>X15*W7/W15</f>
        <v>80.586375664473223</v>
      </c>
      <c r="Y7" s="3"/>
      <c r="Z7" s="3">
        <f>Z3+Z4+Z5+Z6</f>
        <v>140205</v>
      </c>
    </row>
    <row r="8" spans="1:26" x14ac:dyDescent="0.25">
      <c r="A8" t="s">
        <v>5</v>
      </c>
      <c r="C8" s="1">
        <f>38000+8000</f>
        <v>46000</v>
      </c>
      <c r="D8" s="1">
        <v>42296</v>
      </c>
      <c r="E8" s="1">
        <v>30878</v>
      </c>
      <c r="F8" s="1">
        <v>26461</v>
      </c>
      <c r="G8" s="8">
        <v>26461</v>
      </c>
      <c r="H8" s="1">
        <v>26773</v>
      </c>
      <c r="J8" t="s">
        <v>27</v>
      </c>
      <c r="M8" s="1">
        <v>3604</v>
      </c>
      <c r="N8" s="1">
        <v>3987</v>
      </c>
      <c r="O8" s="1">
        <v>3820</v>
      </c>
      <c r="P8" s="1">
        <v>4861</v>
      </c>
      <c r="R8" s="2" t="s">
        <v>54</v>
      </c>
      <c r="T8" s="1"/>
      <c r="U8" s="1"/>
      <c r="V8" s="1"/>
    </row>
    <row r="9" spans="1:26" x14ac:dyDescent="0.25">
      <c r="A9" s="16" t="s">
        <v>6</v>
      </c>
      <c r="B9" s="16"/>
      <c r="C9" s="18">
        <v>75000</v>
      </c>
      <c r="D9" s="18">
        <v>73622</v>
      </c>
      <c r="E9" s="18">
        <v>70798</v>
      </c>
      <c r="F9" s="23">
        <v>79996</v>
      </c>
      <c r="G9" s="24">
        <v>29405</v>
      </c>
      <c r="H9" s="18">
        <v>19093</v>
      </c>
      <c r="J9" t="s">
        <v>28</v>
      </c>
      <c r="M9" s="1">
        <v>15405</v>
      </c>
      <c r="N9" s="1">
        <v>32123</v>
      </c>
      <c r="O9" s="1">
        <v>14595</v>
      </c>
      <c r="P9" s="1">
        <v>15681</v>
      </c>
      <c r="R9" t="s">
        <v>27</v>
      </c>
      <c r="T9" s="1">
        <v>3604</v>
      </c>
      <c r="U9" s="1"/>
      <c r="V9" s="1"/>
      <c r="W9" s="1">
        <v>3987</v>
      </c>
      <c r="X9" s="1"/>
      <c r="Y9" s="1"/>
      <c r="Z9" s="1">
        <v>3820</v>
      </c>
    </row>
    <row r="10" spans="1:26" x14ac:dyDescent="0.25">
      <c r="A10" s="20" t="s">
        <v>7</v>
      </c>
      <c r="B10" s="25"/>
      <c r="C10" s="21">
        <f t="shared" ref="C10:H10" si="2">SUM(C6:C9)</f>
        <v>245500</v>
      </c>
      <c r="D10" s="21">
        <f t="shared" si="2"/>
        <v>252006</v>
      </c>
      <c r="E10" s="21">
        <f t="shared" si="2"/>
        <v>223919</v>
      </c>
      <c r="F10" s="21">
        <f t="shared" si="2"/>
        <v>231955</v>
      </c>
      <c r="G10" s="22">
        <f t="shared" si="2"/>
        <v>232075</v>
      </c>
      <c r="H10" s="21">
        <f t="shared" si="2"/>
        <v>213305</v>
      </c>
      <c r="J10" t="s">
        <v>29</v>
      </c>
      <c r="M10" s="1">
        <v>3415</v>
      </c>
      <c r="N10" s="1">
        <v>5929</v>
      </c>
      <c r="O10" s="1">
        <v>18084</v>
      </c>
      <c r="P10" s="1">
        <v>5874</v>
      </c>
      <c r="R10" t="s">
        <v>166</v>
      </c>
      <c r="T10" s="1">
        <f>15405-T6</f>
        <v>14281</v>
      </c>
      <c r="U10" s="1"/>
      <c r="V10" s="1"/>
      <c r="W10" s="1">
        <f>32123-W6</f>
        <v>27976</v>
      </c>
      <c r="X10" s="1"/>
      <c r="Y10" s="1"/>
      <c r="Z10" s="1">
        <v>14595</v>
      </c>
    </row>
    <row r="11" spans="1:26" ht="15.75" thickBot="1" x14ac:dyDescent="0.3">
      <c r="A11" s="26" t="s">
        <v>8</v>
      </c>
      <c r="B11" s="27"/>
      <c r="C11" s="28">
        <f t="shared" ref="C11:H11" si="3">C5-C10</f>
        <v>16200</v>
      </c>
      <c r="D11" s="28">
        <f t="shared" si="3"/>
        <v>-7995</v>
      </c>
      <c r="E11" s="28">
        <f t="shared" si="3"/>
        <v>45405</v>
      </c>
      <c r="F11" s="28">
        <f t="shared" si="3"/>
        <v>38011</v>
      </c>
      <c r="G11" s="29">
        <f t="shared" si="3"/>
        <v>37891</v>
      </c>
      <c r="H11" s="28">
        <f t="shared" si="3"/>
        <v>12905</v>
      </c>
      <c r="M11" s="3">
        <f>M8+M9+M10</f>
        <v>22424</v>
      </c>
      <c r="N11" s="3">
        <f>N8+N9+N10</f>
        <v>42039</v>
      </c>
      <c r="O11" s="3">
        <f t="shared" ref="O11:P11" si="4">O8+O9+O10</f>
        <v>36499</v>
      </c>
      <c r="P11" s="3">
        <f t="shared" si="4"/>
        <v>26416</v>
      </c>
      <c r="R11" t="s">
        <v>29</v>
      </c>
      <c r="T11" s="1">
        <v>3415</v>
      </c>
      <c r="U11" s="6"/>
      <c r="V11" s="6"/>
      <c r="W11" s="1">
        <v>5929</v>
      </c>
      <c r="X11" s="1"/>
      <c r="Y11" s="1"/>
      <c r="Z11" s="1">
        <v>18084</v>
      </c>
    </row>
    <row r="12" spans="1:26" ht="15.75" thickTop="1" x14ac:dyDescent="0.25">
      <c r="A12" t="s">
        <v>9</v>
      </c>
      <c r="C12" s="1">
        <v>37</v>
      </c>
      <c r="D12" s="1">
        <v>37</v>
      </c>
      <c r="E12" s="1">
        <v>1</v>
      </c>
      <c r="F12" s="1">
        <v>48</v>
      </c>
      <c r="G12" s="8">
        <v>48</v>
      </c>
      <c r="H12" s="1">
        <v>1021</v>
      </c>
      <c r="J12" s="2" t="s">
        <v>30</v>
      </c>
      <c r="M12" s="3">
        <v>1766</v>
      </c>
      <c r="N12" s="3">
        <v>3559</v>
      </c>
      <c r="O12" s="3">
        <v>2486</v>
      </c>
      <c r="P12" s="3">
        <v>5197</v>
      </c>
      <c r="R12" t="s">
        <v>30</v>
      </c>
      <c r="T12" s="6">
        <v>1766</v>
      </c>
      <c r="U12" s="3"/>
      <c r="V12" s="3"/>
      <c r="W12" s="6">
        <v>3559</v>
      </c>
      <c r="X12" s="6"/>
      <c r="Y12" s="6"/>
      <c r="Z12" s="6">
        <v>2486</v>
      </c>
    </row>
    <row r="13" spans="1:26" x14ac:dyDescent="0.25">
      <c r="A13" s="16" t="s">
        <v>10</v>
      </c>
      <c r="B13" s="16"/>
      <c r="C13" s="18">
        <v>6200</v>
      </c>
      <c r="D13" s="18">
        <v>6213</v>
      </c>
      <c r="E13" s="18">
        <v>8769</v>
      </c>
      <c r="F13" s="18">
        <v>10255</v>
      </c>
      <c r="G13" s="19">
        <v>10255</v>
      </c>
      <c r="H13" s="18">
        <v>10239</v>
      </c>
      <c r="J13" s="2" t="s">
        <v>31</v>
      </c>
      <c r="M13" s="3">
        <v>4197</v>
      </c>
      <c r="N13" s="3">
        <v>428</v>
      </c>
      <c r="O13" s="3">
        <v>742</v>
      </c>
      <c r="P13" s="3">
        <v>693</v>
      </c>
      <c r="T13" s="3">
        <f>T9+T10+T11+T12</f>
        <v>23066</v>
      </c>
      <c r="U13" s="3">
        <f>T13*U15/T15</f>
        <v>10.684194192385903</v>
      </c>
      <c r="V13" s="3"/>
      <c r="W13" s="3">
        <f>W9+W10+W11+W12</f>
        <v>41451</v>
      </c>
      <c r="X13" s="3">
        <f>W13*X15/W15</f>
        <v>19.413624335526777</v>
      </c>
      <c r="Y13" s="3"/>
      <c r="Z13" s="3">
        <f>Z9+Z10+Z11+Z12</f>
        <v>38985</v>
      </c>
    </row>
    <row r="14" spans="1:26" x14ac:dyDescent="0.25">
      <c r="A14" s="20" t="s">
        <v>11</v>
      </c>
      <c r="B14" s="25"/>
      <c r="C14" s="21">
        <f t="shared" ref="C14:H14" si="5">C12-C13</f>
        <v>-6163</v>
      </c>
      <c r="D14" s="21">
        <f t="shared" si="5"/>
        <v>-6176</v>
      </c>
      <c r="E14" s="21">
        <f t="shared" si="5"/>
        <v>-8768</v>
      </c>
      <c r="F14" s="21">
        <f t="shared" si="5"/>
        <v>-10207</v>
      </c>
      <c r="G14" s="22">
        <f t="shared" si="5"/>
        <v>-10207</v>
      </c>
      <c r="H14" s="21">
        <f t="shared" si="5"/>
        <v>-9218</v>
      </c>
      <c r="J14" s="2" t="s">
        <v>32</v>
      </c>
      <c r="M14" s="3">
        <v>32838</v>
      </c>
      <c r="N14" s="3">
        <v>20477</v>
      </c>
      <c r="O14" s="3">
        <v>48561</v>
      </c>
      <c r="P14" s="3">
        <v>71096</v>
      </c>
      <c r="R14" s="2"/>
      <c r="T14" s="3"/>
      <c r="U14" s="3"/>
      <c r="V14" s="3"/>
      <c r="W14" s="3"/>
      <c r="X14" s="3"/>
      <c r="Y14" s="3"/>
      <c r="Z14" s="3"/>
    </row>
    <row r="15" spans="1:26" ht="15.75" thickBot="1" x14ac:dyDescent="0.3">
      <c r="A15" s="26" t="s">
        <v>12</v>
      </c>
      <c r="B15" s="27"/>
      <c r="C15" s="28">
        <f t="shared" ref="C15:H15" si="6">C11+C14</f>
        <v>10037</v>
      </c>
      <c r="D15" s="28">
        <f t="shared" si="6"/>
        <v>-14171</v>
      </c>
      <c r="E15" s="28">
        <f t="shared" si="6"/>
        <v>36637</v>
      </c>
      <c r="F15" s="28">
        <f t="shared" si="6"/>
        <v>27804</v>
      </c>
      <c r="G15" s="29">
        <f t="shared" si="6"/>
        <v>27684</v>
      </c>
      <c r="H15" s="28">
        <f t="shared" si="6"/>
        <v>3687</v>
      </c>
      <c r="J15" s="15" t="s">
        <v>43</v>
      </c>
      <c r="K15" s="16"/>
      <c r="L15" s="16"/>
      <c r="M15" s="17">
        <f>M14+M13+M12+M11+M6</f>
        <v>252924</v>
      </c>
      <c r="N15" s="17">
        <f>N14+N13+N12+N11+N6</f>
        <v>234420</v>
      </c>
      <c r="O15" s="17">
        <f t="shared" ref="O15:P15" si="7">O14+O13+O12+O11+O6</f>
        <v>228493</v>
      </c>
      <c r="P15" s="17">
        <f t="shared" si="7"/>
        <v>231793</v>
      </c>
      <c r="R15" s="2" t="s">
        <v>43</v>
      </c>
      <c r="T15" s="3">
        <f>T13+T7</f>
        <v>215889</v>
      </c>
      <c r="U15" s="3">
        <v>100</v>
      </c>
      <c r="V15" s="3"/>
      <c r="W15" s="3">
        <f>W13+W7</f>
        <v>213515</v>
      </c>
      <c r="X15" s="3">
        <v>100</v>
      </c>
      <c r="Y15" s="3"/>
      <c r="Z15" s="3">
        <f>Z13+Z7</f>
        <v>179190</v>
      </c>
    </row>
    <row r="16" spans="1:26" ht="15.75" thickTop="1" x14ac:dyDescent="0.25">
      <c r="A16" s="30" t="s">
        <v>13</v>
      </c>
      <c r="B16" s="31"/>
      <c r="C16" s="32">
        <f>C15*0.4</f>
        <v>4014.8</v>
      </c>
      <c r="D16" s="32">
        <v>-3299</v>
      </c>
      <c r="E16" s="32">
        <v>5877</v>
      </c>
      <c r="F16" s="32">
        <v>3912</v>
      </c>
      <c r="G16" s="33">
        <v>3912</v>
      </c>
      <c r="H16" s="32">
        <v>-1546</v>
      </c>
    </row>
    <row r="17" spans="1:26" x14ac:dyDescent="0.25">
      <c r="A17" s="20" t="s">
        <v>14</v>
      </c>
      <c r="B17" s="25"/>
      <c r="C17" s="21">
        <f t="shared" ref="C17:H17" si="8">C15-C16</f>
        <v>6022.2</v>
      </c>
      <c r="D17" s="21">
        <f t="shared" si="8"/>
        <v>-10872</v>
      </c>
      <c r="E17" s="21">
        <f t="shared" si="8"/>
        <v>30760</v>
      </c>
      <c r="F17" s="21">
        <f t="shared" si="8"/>
        <v>23892</v>
      </c>
      <c r="G17" s="22">
        <f t="shared" si="8"/>
        <v>23772</v>
      </c>
      <c r="H17" s="21">
        <f t="shared" si="8"/>
        <v>5233</v>
      </c>
      <c r="K17" s="5" t="s">
        <v>35</v>
      </c>
      <c r="M17" s="1"/>
      <c r="N17" s="1"/>
      <c r="T17" s="1"/>
      <c r="U17" s="1"/>
      <c r="V17" s="1"/>
      <c r="W17" s="1"/>
      <c r="X17" s="1"/>
      <c r="Y17" s="1"/>
    </row>
    <row r="18" spans="1:26" x14ac:dyDescent="0.25">
      <c r="A18" s="4" t="s">
        <v>15</v>
      </c>
      <c r="C18" s="1">
        <v>999</v>
      </c>
      <c r="D18" s="1">
        <v>999</v>
      </c>
      <c r="E18" s="1">
        <v>1343</v>
      </c>
      <c r="F18" s="1">
        <v>1160</v>
      </c>
      <c r="G18" s="8">
        <v>1040</v>
      </c>
      <c r="H18" s="1">
        <v>764</v>
      </c>
      <c r="J18" s="2" t="s">
        <v>36</v>
      </c>
      <c r="M18" s="3">
        <v>0</v>
      </c>
      <c r="N18" s="3">
        <v>0</v>
      </c>
      <c r="O18" s="3">
        <v>0</v>
      </c>
      <c r="P18" s="3">
        <v>0</v>
      </c>
      <c r="R18" s="2" t="s">
        <v>62</v>
      </c>
      <c r="T18" s="3">
        <f>-32838-4197</f>
        <v>-37035</v>
      </c>
      <c r="U18" s="57">
        <f>T18*100/T29</f>
        <v>-17.154648916804469</v>
      </c>
      <c r="V18" s="3"/>
      <c r="W18" s="3">
        <f>-20477-428</f>
        <v>-20905</v>
      </c>
      <c r="X18" s="57">
        <f>W18*100/W29</f>
        <v>-9.790881202725803</v>
      </c>
      <c r="Y18" s="3"/>
      <c r="Z18" s="3">
        <f>-48561-742</f>
        <v>-49303</v>
      </c>
    </row>
    <row r="19" spans="1:26" x14ac:dyDescent="0.25">
      <c r="A19" s="34" t="s">
        <v>16</v>
      </c>
      <c r="B19" s="16"/>
      <c r="C19" s="18">
        <v>296</v>
      </c>
      <c r="D19" s="18">
        <v>296</v>
      </c>
      <c r="E19" s="18">
        <v>296</v>
      </c>
      <c r="F19" s="18">
        <v>197</v>
      </c>
      <c r="G19" s="19">
        <v>197</v>
      </c>
      <c r="H19" s="18">
        <v>318</v>
      </c>
      <c r="J19" s="2" t="s">
        <v>37</v>
      </c>
      <c r="M19" s="3">
        <f>M20+M21</f>
        <v>23640</v>
      </c>
      <c r="N19" s="3">
        <f>N20+N21</f>
        <v>21402</v>
      </c>
      <c r="O19" s="3">
        <f t="shared" ref="O19:P19" si="9">O20+O21</f>
        <v>16621</v>
      </c>
      <c r="P19" s="3">
        <f t="shared" si="9"/>
        <v>10547</v>
      </c>
      <c r="R19" s="2" t="s">
        <v>57</v>
      </c>
      <c r="T19" s="3">
        <f>T20+T21+T22</f>
        <v>252924</v>
      </c>
      <c r="U19" s="3"/>
      <c r="V19" s="3"/>
      <c r="W19" s="3">
        <f>W20+W21+W22</f>
        <v>234420</v>
      </c>
      <c r="X19" s="3"/>
      <c r="Y19" s="3"/>
      <c r="Z19" s="3">
        <f>Z20+Z21+Z22</f>
        <v>228493</v>
      </c>
    </row>
    <row r="20" spans="1:26" ht="15.75" thickBot="1" x14ac:dyDescent="0.3">
      <c r="A20" s="26" t="s">
        <v>17</v>
      </c>
      <c r="B20" s="27"/>
      <c r="C20" s="28">
        <f t="shared" ref="C20:H20" si="10">C17-C18-C19</f>
        <v>4727.2</v>
      </c>
      <c r="D20" s="28">
        <f t="shared" si="10"/>
        <v>-12167</v>
      </c>
      <c r="E20" s="28">
        <f t="shared" si="10"/>
        <v>29121</v>
      </c>
      <c r="F20" s="28">
        <f t="shared" si="10"/>
        <v>22535</v>
      </c>
      <c r="G20" s="29">
        <f t="shared" si="10"/>
        <v>22535</v>
      </c>
      <c r="H20" s="28">
        <f t="shared" si="10"/>
        <v>4151</v>
      </c>
      <c r="J20" s="2"/>
      <c r="K20" t="s">
        <v>41</v>
      </c>
      <c r="M20" s="1">
        <v>9393</v>
      </c>
      <c r="N20" s="1">
        <v>11305</v>
      </c>
      <c r="O20" s="1">
        <v>5960</v>
      </c>
      <c r="P20" s="1">
        <v>1908</v>
      </c>
      <c r="R20" s="2"/>
      <c r="S20" s="13" t="s">
        <v>58</v>
      </c>
      <c r="T20" s="14">
        <v>23640</v>
      </c>
      <c r="U20" s="3"/>
      <c r="V20" s="3"/>
      <c r="W20" s="14">
        <v>21402</v>
      </c>
      <c r="X20" s="3"/>
      <c r="Y20" s="3"/>
      <c r="Z20" s="14">
        <v>16621</v>
      </c>
    </row>
    <row r="21" spans="1:26" ht="15.75" thickTop="1" x14ac:dyDescent="0.25">
      <c r="A21" s="30" t="s">
        <v>19</v>
      </c>
      <c r="B21" s="31"/>
      <c r="C21" s="32"/>
      <c r="D21" s="32">
        <v>-975</v>
      </c>
      <c r="E21" s="32">
        <v>-536</v>
      </c>
      <c r="F21" s="32">
        <v>-532</v>
      </c>
      <c r="G21" s="33">
        <v>-532</v>
      </c>
      <c r="H21" s="32">
        <v>-813</v>
      </c>
      <c r="J21" s="2"/>
      <c r="K21" t="s">
        <v>42</v>
      </c>
      <c r="M21" s="1">
        <v>14247</v>
      </c>
      <c r="N21" s="1">
        <v>10097</v>
      </c>
      <c r="O21" s="1">
        <v>10661</v>
      </c>
      <c r="P21" s="1">
        <v>8639</v>
      </c>
      <c r="R21" s="2"/>
      <c r="S21" s="13" t="s">
        <v>59</v>
      </c>
      <c r="T21" s="14">
        <v>210160</v>
      </c>
      <c r="U21" s="1"/>
      <c r="V21" s="1"/>
      <c r="W21" s="14">
        <v>195350</v>
      </c>
      <c r="X21" s="1"/>
      <c r="Y21" s="1"/>
      <c r="Z21" s="14">
        <v>194506</v>
      </c>
    </row>
    <row r="22" spans="1:26" x14ac:dyDescent="0.25">
      <c r="A22" s="2" t="s">
        <v>18</v>
      </c>
      <c r="C22" s="3"/>
      <c r="D22" s="3">
        <f t="shared" ref="C22:H22" si="11">D20+D21</f>
        <v>-13142</v>
      </c>
      <c r="E22" s="3">
        <f t="shared" si="11"/>
        <v>28585</v>
      </c>
      <c r="F22" s="3">
        <f t="shared" si="11"/>
        <v>22003</v>
      </c>
      <c r="G22" s="9">
        <f t="shared" si="11"/>
        <v>22003</v>
      </c>
      <c r="H22" s="3">
        <f t="shared" si="11"/>
        <v>3338</v>
      </c>
      <c r="J22" s="2" t="s">
        <v>38</v>
      </c>
      <c r="M22" s="3">
        <f>SUM(M23:M29)</f>
        <v>210160</v>
      </c>
      <c r="N22" s="3">
        <f>SUM(N23:N29)</f>
        <v>195350</v>
      </c>
      <c r="O22" s="3">
        <f>SUM(O23:O29)</f>
        <v>194506</v>
      </c>
      <c r="P22" s="3">
        <f>SUM(P23:P29)</f>
        <v>203996</v>
      </c>
      <c r="S22" s="13" t="s">
        <v>39</v>
      </c>
      <c r="T22" s="14">
        <v>19124</v>
      </c>
      <c r="U22" s="1"/>
      <c r="V22" s="1"/>
      <c r="W22" s="14">
        <v>17668</v>
      </c>
      <c r="X22" s="1"/>
      <c r="Y22" s="1"/>
      <c r="Z22" s="14">
        <v>17366</v>
      </c>
    </row>
    <row r="23" spans="1:26" x14ac:dyDescent="0.25">
      <c r="C23" s="1"/>
      <c r="D23" s="1"/>
      <c r="E23" s="1"/>
      <c r="F23" s="51"/>
      <c r="K23" t="s">
        <v>44</v>
      </c>
      <c r="M23" s="6">
        <v>50877</v>
      </c>
      <c r="N23" s="6">
        <v>51190</v>
      </c>
      <c r="O23" s="6">
        <v>60816</v>
      </c>
      <c r="P23" s="6">
        <v>60815</v>
      </c>
      <c r="R23" t="s">
        <v>55</v>
      </c>
      <c r="S23" s="13" t="s">
        <v>63</v>
      </c>
      <c r="T23" s="1">
        <f>34107+57+10214+25658</f>
        <v>70036</v>
      </c>
      <c r="U23" s="3"/>
      <c r="V23" s="3"/>
      <c r="W23" s="1">
        <f>757+10214+24253+34107</f>
        <v>69331</v>
      </c>
      <c r="X23" s="3"/>
      <c r="Y23" s="3"/>
      <c r="Z23" s="1">
        <f>0+130+10214+25174</f>
        <v>35518</v>
      </c>
    </row>
    <row r="24" spans="1:26" x14ac:dyDescent="0.25">
      <c r="A24" s="2" t="s">
        <v>163</v>
      </c>
      <c r="C24" s="1"/>
      <c r="D24" s="42">
        <f>D7/D3</f>
        <v>0.51526208804025464</v>
      </c>
      <c r="E24" s="42">
        <f>E7/E3</f>
        <v>0.41521817852616333</v>
      </c>
      <c r="F24" s="52">
        <f>F7/F3</f>
        <v>0.42029472761683145</v>
      </c>
      <c r="G24" s="42">
        <f>G7/G3</f>
        <v>0.42066558785275704</v>
      </c>
      <c r="H24" s="42">
        <f>H7/H3</f>
        <v>0.53142098076190658</v>
      </c>
      <c r="K24" t="s">
        <v>45</v>
      </c>
      <c r="M24" s="6">
        <v>54987</v>
      </c>
      <c r="N24" s="6">
        <v>40693</v>
      </c>
      <c r="O24" s="6">
        <v>45467</v>
      </c>
      <c r="P24" s="6">
        <v>58948</v>
      </c>
      <c r="R24" t="s">
        <v>56</v>
      </c>
      <c r="S24" s="13" t="s">
        <v>64</v>
      </c>
      <c r="T24" s="6">
        <f>15893+14712+2062+3548</f>
        <v>36215</v>
      </c>
      <c r="U24" s="6"/>
      <c r="V24" s="6"/>
      <c r="W24" s="6">
        <f>15893+28746+9073+5412</f>
        <v>59124</v>
      </c>
      <c r="X24" s="6"/>
      <c r="Y24" s="6"/>
      <c r="Z24" s="6">
        <f>50000+34082+11829+6451</f>
        <v>102362</v>
      </c>
    </row>
    <row r="25" spans="1:26" x14ac:dyDescent="0.25">
      <c r="A25" t="s">
        <v>164</v>
      </c>
      <c r="D25" s="42">
        <f>165993/352591</f>
        <v>0.47078059281150114</v>
      </c>
      <c r="E25" s="42">
        <f>128996/324320</f>
        <v>0.3977429699062654</v>
      </c>
      <c r="K25" t="s">
        <v>46</v>
      </c>
      <c r="M25" s="6">
        <v>9143</v>
      </c>
      <c r="N25" s="6">
        <v>7195</v>
      </c>
      <c r="O25" s="6">
        <v>6297</v>
      </c>
      <c r="P25" s="6">
        <v>10172</v>
      </c>
      <c r="R25" t="s">
        <v>70</v>
      </c>
      <c r="T25" s="36">
        <f>T23+T24</f>
        <v>106251</v>
      </c>
      <c r="U25" s="57">
        <f>T25*U29/T29</f>
        <v>49.215569111904728</v>
      </c>
      <c r="W25" s="36">
        <f>W23+W24</f>
        <v>128455</v>
      </c>
      <c r="X25" s="57">
        <f>W25*X29/W29</f>
        <v>60.162049504718638</v>
      </c>
      <c r="Z25" s="36">
        <f>Z23+Z24</f>
        <v>137880</v>
      </c>
    </row>
    <row r="26" spans="1:26" x14ac:dyDescent="0.25">
      <c r="K26" t="s">
        <v>47</v>
      </c>
      <c r="M26" s="6">
        <v>34888</v>
      </c>
      <c r="N26" s="6">
        <v>34845</v>
      </c>
      <c r="O26" s="6">
        <v>19097</v>
      </c>
      <c r="P26" s="6">
        <v>6200</v>
      </c>
      <c r="R26" t="s">
        <v>66</v>
      </c>
      <c r="S26" s="13" t="s">
        <v>68</v>
      </c>
      <c r="T26" s="36">
        <f>23640+877+40218+41968+20845+1</f>
        <v>127549</v>
      </c>
      <c r="U26" s="57">
        <f>T26*100/T29</f>
        <v>59.080823941933126</v>
      </c>
      <c r="W26" s="36">
        <f>21402+1190+11190+32967+21549-1</f>
        <v>88297</v>
      </c>
      <c r="X26" s="57">
        <f>W26*100/W29</f>
        <v>41.354003231623068</v>
      </c>
      <c r="Z26" s="36">
        <f>16621+10816+11256+13565+20990-1</f>
        <v>73247</v>
      </c>
    </row>
    <row r="27" spans="1:26" x14ac:dyDescent="0.25">
      <c r="A27" s="2" t="s">
        <v>92</v>
      </c>
      <c r="C27" s="54"/>
      <c r="D27" s="46" t="s">
        <v>159</v>
      </c>
      <c r="G27" t="s">
        <v>127</v>
      </c>
      <c r="K27" t="s">
        <v>48</v>
      </c>
      <c r="M27" s="6">
        <v>10214</v>
      </c>
      <c r="N27" s="6">
        <v>10214</v>
      </c>
      <c r="O27" s="6">
        <v>10214</v>
      </c>
      <c r="P27" s="6">
        <v>10214</v>
      </c>
      <c r="R27" t="s">
        <v>65</v>
      </c>
      <c r="S27" s="13" t="s">
        <v>68</v>
      </c>
      <c r="T27" s="36">
        <v>19124</v>
      </c>
      <c r="U27" s="57">
        <f>T27*100/T29</f>
        <v>8.858255862966617</v>
      </c>
      <c r="V27" s="6"/>
      <c r="W27" s="36">
        <v>17668</v>
      </c>
      <c r="X27" s="57">
        <f>W27*100/W29</f>
        <v>8.2748284663840952</v>
      </c>
      <c r="Y27" s="6"/>
      <c r="Z27" s="36">
        <f>17366</f>
        <v>17366</v>
      </c>
    </row>
    <row r="28" spans="1:26" x14ac:dyDescent="0.25">
      <c r="A28" s="2" t="s">
        <v>0</v>
      </c>
      <c r="C28" s="54"/>
      <c r="D28" s="5">
        <v>2018</v>
      </c>
      <c r="E28" s="5">
        <v>2017</v>
      </c>
      <c r="F28" t="s">
        <v>158</v>
      </c>
      <c r="G28" s="5">
        <v>2016</v>
      </c>
      <c r="H28" s="5">
        <v>2015</v>
      </c>
      <c r="K28" t="s">
        <v>89</v>
      </c>
      <c r="M28" s="6">
        <v>0</v>
      </c>
      <c r="N28" s="6">
        <v>0</v>
      </c>
      <c r="O28" s="6">
        <v>0</v>
      </c>
      <c r="P28" s="6">
        <v>6</v>
      </c>
      <c r="S28" t="s">
        <v>60</v>
      </c>
      <c r="T28" s="6">
        <f>T19-T23-T24-T26-T27</f>
        <v>0</v>
      </c>
      <c r="U28" s="6"/>
      <c r="V28" s="6"/>
      <c r="W28" s="6">
        <f>W19-W23-W24-W26-W27</f>
        <v>0</v>
      </c>
      <c r="X28" s="6"/>
      <c r="Y28" s="6"/>
      <c r="Z28" s="6">
        <f>Z19-Z23-Z24-Z26-Z27</f>
        <v>0</v>
      </c>
    </row>
    <row r="29" spans="1:26" x14ac:dyDescent="0.25">
      <c r="A29" t="s">
        <v>93</v>
      </c>
      <c r="C29" s="37"/>
      <c r="D29" s="1">
        <f>E29*(1+F29)</f>
        <v>45543.906172680829</v>
      </c>
      <c r="E29" s="1">
        <v>37648</v>
      </c>
      <c r="F29" s="42">
        <f t="shared" ref="F29:F36" si="12">(E29-G29)/G29</f>
        <v>0.20972976446772276</v>
      </c>
      <c r="G29" s="1">
        <v>31121</v>
      </c>
      <c r="H29" s="1">
        <v>36025</v>
      </c>
      <c r="K29" t="s">
        <v>49</v>
      </c>
      <c r="M29" s="6">
        <v>50051</v>
      </c>
      <c r="N29" s="6">
        <v>51213</v>
      </c>
      <c r="O29" s="6">
        <v>52615</v>
      </c>
      <c r="P29" s="6">
        <v>57641</v>
      </c>
      <c r="R29" s="2" t="s">
        <v>61</v>
      </c>
      <c r="S29" s="2"/>
      <c r="T29" s="3">
        <f>T19+T18</f>
        <v>215889</v>
      </c>
      <c r="U29" s="3">
        <v>100</v>
      </c>
      <c r="V29" s="6"/>
      <c r="W29" s="3">
        <f>W19+W18</f>
        <v>213515</v>
      </c>
      <c r="X29" s="3">
        <v>100</v>
      </c>
      <c r="Y29" s="6"/>
      <c r="Z29" s="3">
        <f>Z19+Z18</f>
        <v>179190</v>
      </c>
    </row>
    <row r="30" spans="1:26" x14ac:dyDescent="0.25">
      <c r="A30" t="s">
        <v>94</v>
      </c>
      <c r="C30" s="37"/>
      <c r="D30" s="1">
        <f>E30*(1+F30)</f>
        <v>71374.886348800908</v>
      </c>
      <c r="E30" s="1">
        <v>70921</v>
      </c>
      <c r="F30" s="42">
        <f t="shared" si="12"/>
        <v>6.3998864765148289E-3</v>
      </c>
      <c r="G30" s="1">
        <v>70470</v>
      </c>
      <c r="H30" s="1">
        <v>68033</v>
      </c>
      <c r="J30" s="15" t="s">
        <v>39</v>
      </c>
      <c r="K30" s="16"/>
      <c r="L30" s="16"/>
      <c r="M30" s="17">
        <v>19124</v>
      </c>
      <c r="N30" s="17">
        <v>17668</v>
      </c>
      <c r="O30" s="17">
        <v>17366</v>
      </c>
      <c r="P30" s="17">
        <v>17250</v>
      </c>
      <c r="T30" s="6"/>
      <c r="U30" s="6"/>
      <c r="V30" s="6"/>
      <c r="W30" s="6"/>
      <c r="X30" s="6"/>
      <c r="Y30" s="6"/>
      <c r="Z30" s="6"/>
    </row>
    <row r="31" spans="1:26" x14ac:dyDescent="0.25">
      <c r="A31" t="s">
        <v>95</v>
      </c>
      <c r="C31" s="37"/>
      <c r="D31" s="1">
        <v>101722</v>
      </c>
      <c r="E31" s="1">
        <v>81190</v>
      </c>
      <c r="F31" s="42">
        <f t="shared" si="12"/>
        <v>6.61011607752508E-2</v>
      </c>
      <c r="G31" s="1">
        <v>76156</v>
      </c>
      <c r="H31" s="1">
        <v>70430</v>
      </c>
      <c r="J31" s="2" t="s">
        <v>43</v>
      </c>
      <c r="M31" s="3">
        <f>M30+M22+M19+M18</f>
        <v>252924</v>
      </c>
      <c r="N31" s="3">
        <f>N30+N22+N19+N18</f>
        <v>234420</v>
      </c>
      <c r="O31" s="3">
        <f>O30+O22+O19+O18</f>
        <v>228493</v>
      </c>
      <c r="P31" s="3">
        <f>P30+P22+P19+P18</f>
        <v>231793</v>
      </c>
      <c r="R31" s="13" t="s">
        <v>40</v>
      </c>
      <c r="S31" s="13"/>
      <c r="T31" s="14">
        <f>T29-T15</f>
        <v>0</v>
      </c>
      <c r="U31" s="6"/>
      <c r="V31" s="6"/>
      <c r="W31" s="14">
        <f>W29-W15</f>
        <v>0</v>
      </c>
      <c r="X31" s="6"/>
      <c r="Y31" s="6"/>
      <c r="Z31" s="14">
        <f>Z29-Z15</f>
        <v>0</v>
      </c>
    </row>
    <row r="32" spans="1:26" x14ac:dyDescent="0.25">
      <c r="A32" t="s">
        <v>96</v>
      </c>
      <c r="C32" s="37"/>
      <c r="D32">
        <v>0</v>
      </c>
      <c r="E32" s="1">
        <v>12630</v>
      </c>
      <c r="F32" s="42">
        <f t="shared" si="12"/>
        <v>-0.75055300995417917</v>
      </c>
      <c r="G32" s="1">
        <v>50632</v>
      </c>
      <c r="H32" s="1">
        <v>50914</v>
      </c>
      <c r="R32" s="2"/>
      <c r="T32" s="3"/>
      <c r="U32" s="3"/>
      <c r="V32" s="3"/>
      <c r="W32" s="3"/>
      <c r="X32" s="3"/>
      <c r="Y32" s="3"/>
      <c r="Z32" s="3"/>
    </row>
    <row r="33" spans="1:26" x14ac:dyDescent="0.25">
      <c r="A33" t="s">
        <v>97</v>
      </c>
      <c r="C33" s="37"/>
      <c r="D33" s="1">
        <f>E33*(1+F33)</f>
        <v>17487.169107506405</v>
      </c>
      <c r="E33" s="1">
        <v>16318</v>
      </c>
      <c r="F33" s="42">
        <f t="shared" si="12"/>
        <v>7.1649044460497802E-2</v>
      </c>
      <c r="G33" s="1">
        <v>15227</v>
      </c>
      <c r="H33" s="1">
        <v>17724</v>
      </c>
      <c r="J33" s="13" t="s">
        <v>40</v>
      </c>
      <c r="K33" s="13"/>
      <c r="L33" s="13"/>
      <c r="M33" s="14">
        <f>M31-M15</f>
        <v>0</v>
      </c>
      <c r="N33" s="14">
        <f>N31-N15</f>
        <v>0</v>
      </c>
      <c r="O33" s="14">
        <f>O31-O15</f>
        <v>0</v>
      </c>
      <c r="P33" s="14">
        <f>P31-P15</f>
        <v>0</v>
      </c>
      <c r="Q33" s="1"/>
      <c r="R33" t="s">
        <v>83</v>
      </c>
      <c r="T33" s="3">
        <v>10298</v>
      </c>
      <c r="V33" s="3"/>
      <c r="W33" s="3">
        <v>26790</v>
      </c>
      <c r="X33" s="3"/>
      <c r="Y33" s="3"/>
      <c r="Z33" s="3">
        <f>4331+493</f>
        <v>4824</v>
      </c>
    </row>
    <row r="34" spans="1:26" x14ac:dyDescent="0.25">
      <c r="A34" t="s">
        <v>98</v>
      </c>
      <c r="C34" s="37"/>
      <c r="D34" s="1">
        <f>E34*(1+F34)</f>
        <v>14220.248893901275</v>
      </c>
      <c r="E34" s="1">
        <v>12803</v>
      </c>
      <c r="F34" s="42">
        <f t="shared" si="12"/>
        <v>0.11069662531447905</v>
      </c>
      <c r="G34" s="1">
        <v>11527</v>
      </c>
      <c r="H34" s="1">
        <v>13682</v>
      </c>
      <c r="Q34" s="1"/>
      <c r="T34" s="1"/>
      <c r="U34" s="1"/>
      <c r="V34" s="1"/>
      <c r="W34" s="1"/>
      <c r="X34" s="1"/>
      <c r="Y34" s="1"/>
      <c r="Z34" s="1"/>
    </row>
    <row r="35" spans="1:26" x14ac:dyDescent="0.25">
      <c r="A35" t="s">
        <v>99</v>
      </c>
      <c r="C35" s="55"/>
      <c r="D35" s="18">
        <f>E35*(1+F35)</f>
        <v>7352.1055059673054</v>
      </c>
      <c r="E35" s="18">
        <v>8562</v>
      </c>
      <c r="F35" s="44">
        <f t="shared" si="12"/>
        <v>-0.14130979841540467</v>
      </c>
      <c r="G35" s="18">
        <v>9971</v>
      </c>
      <c r="H35" s="18">
        <v>7911</v>
      </c>
      <c r="J35" s="2" t="s">
        <v>71</v>
      </c>
      <c r="Q35" s="1"/>
    </row>
    <row r="36" spans="1:26" x14ac:dyDescent="0.25">
      <c r="C36" s="37"/>
      <c r="D36" s="3">
        <f>SUM(D29:D35)</f>
        <v>257700.31602885673</v>
      </c>
      <c r="E36" s="3">
        <f>SUM(E29:E35)</f>
        <v>240072</v>
      </c>
      <c r="F36" s="45">
        <f t="shared" si="12"/>
        <v>-9.4423320659062102E-2</v>
      </c>
      <c r="G36" s="3">
        <f>SUM(G29:G35)</f>
        <v>265104</v>
      </c>
      <c r="H36" s="3">
        <f>SUM(H29:H35)</f>
        <v>264719</v>
      </c>
      <c r="J36" t="s">
        <v>73</v>
      </c>
      <c r="Q36" s="1"/>
      <c r="R36" s="1"/>
    </row>
    <row r="37" spans="1:26" x14ac:dyDescent="0.25">
      <c r="A37" s="48" t="s">
        <v>160</v>
      </c>
      <c r="B37" s="48"/>
      <c r="C37" s="48"/>
      <c r="D37" s="49">
        <v>257700</v>
      </c>
      <c r="E37" s="50">
        <v>224200</v>
      </c>
      <c r="F37" s="48"/>
      <c r="G37" s="49">
        <f>H36-51500</f>
        <v>213219</v>
      </c>
      <c r="H37" s="49">
        <v>225300</v>
      </c>
      <c r="K37" t="s">
        <v>72</v>
      </c>
      <c r="M37" s="6">
        <v>27158</v>
      </c>
      <c r="N37" s="6">
        <v>30693</v>
      </c>
      <c r="O37" s="6">
        <v>32967</v>
      </c>
      <c r="Q37" s="1"/>
      <c r="R37" s="2" t="s">
        <v>67</v>
      </c>
    </row>
    <row r="38" spans="1:26" x14ac:dyDescent="0.25">
      <c r="E38" t="s">
        <v>162</v>
      </c>
      <c r="K38" t="s">
        <v>74</v>
      </c>
      <c r="M38" s="6">
        <v>27813</v>
      </c>
      <c r="N38" s="6">
        <v>10000</v>
      </c>
      <c r="O38" s="6">
        <v>12500</v>
      </c>
      <c r="Q38" s="1"/>
      <c r="R38" s="35" t="s">
        <v>69</v>
      </c>
    </row>
    <row r="39" spans="1:26" x14ac:dyDescent="0.25">
      <c r="A39" t="s">
        <v>161</v>
      </c>
      <c r="E39" s="1">
        <f>E36-E37</f>
        <v>15872</v>
      </c>
      <c r="G39" s="1">
        <f>G36-G37</f>
        <v>51885</v>
      </c>
      <c r="H39" s="1">
        <f>H36-H37</f>
        <v>39419</v>
      </c>
      <c r="J39" t="s">
        <v>75</v>
      </c>
      <c r="M39" s="6"/>
      <c r="N39" s="6"/>
      <c r="O39" s="6"/>
      <c r="Q39" s="1"/>
      <c r="R39" s="35" t="s">
        <v>90</v>
      </c>
    </row>
    <row r="40" spans="1:26" x14ac:dyDescent="0.25">
      <c r="K40" t="s">
        <v>76</v>
      </c>
      <c r="M40" s="6">
        <v>5938</v>
      </c>
      <c r="N40" s="6">
        <v>6800</v>
      </c>
      <c r="O40" s="6">
        <v>7725</v>
      </c>
      <c r="Q40" s="1"/>
      <c r="R40" s="35" t="s">
        <v>91</v>
      </c>
    </row>
    <row r="41" spans="1:26" x14ac:dyDescent="0.25">
      <c r="A41" t="s">
        <v>1</v>
      </c>
      <c r="E41" s="39">
        <v>3939</v>
      </c>
      <c r="F41" s="44">
        <f>(E41-G41)/G41</f>
        <v>-6.6587677725118477E-2</v>
      </c>
      <c r="G41" s="15">
        <v>4220</v>
      </c>
      <c r="H41" s="15">
        <v>5247</v>
      </c>
      <c r="K41" t="s">
        <v>72</v>
      </c>
      <c r="M41" s="6">
        <v>9994</v>
      </c>
      <c r="N41" s="6">
        <v>10155</v>
      </c>
      <c r="O41" s="6">
        <v>10348</v>
      </c>
      <c r="Q41" s="1"/>
      <c r="R41" s="56" t="s">
        <v>167</v>
      </c>
    </row>
    <row r="42" spans="1:26" x14ac:dyDescent="0.25">
      <c r="E42" s="3">
        <f>E41+E36</f>
        <v>244011</v>
      </c>
      <c r="F42" s="45">
        <f>(E42-G42)/G42</f>
        <v>-9.3987167872153984E-2</v>
      </c>
      <c r="G42" s="3">
        <f>G41+G36</f>
        <v>269324</v>
      </c>
      <c r="H42" s="3">
        <f>H41+H36</f>
        <v>269966</v>
      </c>
      <c r="M42" s="3">
        <f>SUM(M37:M41)</f>
        <v>70903</v>
      </c>
      <c r="N42" s="3">
        <f>SUM(N37:N41)</f>
        <v>57648</v>
      </c>
      <c r="O42" s="3">
        <f>SUM(O37:O41)</f>
        <v>63540</v>
      </c>
      <c r="Q42" s="1"/>
      <c r="R42" s="1"/>
    </row>
    <row r="43" spans="1:26" x14ac:dyDescent="0.25">
      <c r="A43" t="s">
        <v>100</v>
      </c>
      <c r="E43" s="6">
        <v>933</v>
      </c>
      <c r="G43" s="4">
        <v>0</v>
      </c>
      <c r="H43" s="4">
        <v>0</v>
      </c>
      <c r="Q43" s="1"/>
      <c r="R43" s="1"/>
    </row>
    <row r="44" spans="1:26" x14ac:dyDescent="0.25">
      <c r="A44" t="s">
        <v>101</v>
      </c>
      <c r="E44" s="40">
        <v>2456</v>
      </c>
      <c r="G44" s="40">
        <v>1535</v>
      </c>
      <c r="H44" s="40">
        <f>1002+655+311</f>
        <v>1968</v>
      </c>
      <c r="J44" t="s">
        <v>77</v>
      </c>
      <c r="R44" s="1"/>
    </row>
    <row r="45" spans="1:26" x14ac:dyDescent="0.25">
      <c r="A45" t="s">
        <v>102</v>
      </c>
      <c r="E45" s="3">
        <f>E42-E43-E44</f>
        <v>240622</v>
      </c>
      <c r="G45" s="3">
        <f>G42-G43-G44</f>
        <v>267789</v>
      </c>
      <c r="H45" s="3">
        <f>H42-H43-H44</f>
        <v>267998</v>
      </c>
      <c r="K45" t="s">
        <v>74</v>
      </c>
      <c r="M45" s="6">
        <f>M38</f>
        <v>27813</v>
      </c>
      <c r="N45" s="6">
        <f>N38</f>
        <v>10000</v>
      </c>
      <c r="O45" s="6">
        <f>O38</f>
        <v>12500</v>
      </c>
      <c r="R45" t="s">
        <v>155</v>
      </c>
    </row>
    <row r="46" spans="1:26" x14ac:dyDescent="0.25">
      <c r="K46" s="16" t="s">
        <v>78</v>
      </c>
      <c r="L46" s="16"/>
      <c r="M46" s="18">
        <f>M9+M10</f>
        <v>18820</v>
      </c>
      <c r="N46" s="18">
        <f>N9+N10</f>
        <v>38052</v>
      </c>
      <c r="O46" s="18">
        <f>O9+O10</f>
        <v>32679</v>
      </c>
      <c r="U46" t="s">
        <v>157</v>
      </c>
    </row>
    <row r="47" spans="1:26" x14ac:dyDescent="0.25">
      <c r="A47" s="2" t="s">
        <v>149</v>
      </c>
      <c r="E47" s="3">
        <f>E36-E32</f>
        <v>227442</v>
      </c>
      <c r="G47" s="3">
        <f>G36-G32</f>
        <v>214472</v>
      </c>
      <c r="H47" s="3">
        <f>H36-H32</f>
        <v>213805</v>
      </c>
      <c r="K47" t="s">
        <v>84</v>
      </c>
      <c r="M47" s="37">
        <f>M46-M45</f>
        <v>-8993</v>
      </c>
      <c r="N47" s="1">
        <f>N46-N45</f>
        <v>28052</v>
      </c>
      <c r="O47" s="1">
        <f>O46-O45</f>
        <v>20179</v>
      </c>
      <c r="R47" s="2" t="s">
        <v>150</v>
      </c>
      <c r="T47" s="2">
        <v>2017</v>
      </c>
      <c r="U47" s="2">
        <v>2016</v>
      </c>
      <c r="V47" s="2">
        <v>2015</v>
      </c>
    </row>
    <row r="48" spans="1:26" x14ac:dyDescent="0.25">
      <c r="R48" s="16" t="s">
        <v>10</v>
      </c>
      <c r="S48" s="16"/>
      <c r="T48" s="18">
        <v>6213</v>
      </c>
      <c r="U48" s="18">
        <v>8769</v>
      </c>
      <c r="V48" s="18">
        <v>10255</v>
      </c>
    </row>
    <row r="49" spans="1:22" x14ac:dyDescent="0.25">
      <c r="A49" s="2" t="s">
        <v>103</v>
      </c>
      <c r="K49" t="s">
        <v>79</v>
      </c>
      <c r="M49" s="1">
        <f>M41+M40+M37</f>
        <v>43090</v>
      </c>
      <c r="N49" s="1">
        <f>N41+N40+N37</f>
        <v>47648</v>
      </c>
      <c r="O49" s="1">
        <f>O41+O40+O37</f>
        <v>51040</v>
      </c>
      <c r="R49" t="s">
        <v>151</v>
      </c>
    </row>
    <row r="50" spans="1:22" x14ac:dyDescent="0.25">
      <c r="A50" t="s">
        <v>104</v>
      </c>
      <c r="E50" s="1">
        <v>39474</v>
      </c>
      <c r="G50" s="1">
        <v>33694</v>
      </c>
      <c r="H50" s="1">
        <v>29854</v>
      </c>
      <c r="K50" s="16" t="s">
        <v>80</v>
      </c>
      <c r="L50" s="16"/>
      <c r="M50" s="18">
        <v>81768</v>
      </c>
      <c r="N50" s="18">
        <v>86052</v>
      </c>
      <c r="O50" s="18">
        <v>86052</v>
      </c>
      <c r="R50" t="s">
        <v>152</v>
      </c>
      <c r="T50" s="1">
        <f t="shared" ref="T50:V51" si="13">(M23+N23)/2</f>
        <v>51033.5</v>
      </c>
      <c r="U50" s="1">
        <f t="shared" si="13"/>
        <v>56003</v>
      </c>
      <c r="V50" s="1">
        <f t="shared" si="13"/>
        <v>60815.5</v>
      </c>
    </row>
    <row r="51" spans="1:22" x14ac:dyDescent="0.25">
      <c r="A51" t="s">
        <v>105</v>
      </c>
      <c r="E51" s="1">
        <v>-48463</v>
      </c>
      <c r="G51" s="1">
        <v>-19712</v>
      </c>
      <c r="H51" s="1">
        <v>8957</v>
      </c>
      <c r="K51" t="s">
        <v>81</v>
      </c>
      <c r="M51" s="1">
        <f>M50-M49</f>
        <v>38678</v>
      </c>
      <c r="N51" s="1">
        <f>N50-N49</f>
        <v>38404</v>
      </c>
      <c r="O51" s="1">
        <f>O50-O49</f>
        <v>35012</v>
      </c>
      <c r="R51" t="s">
        <v>153</v>
      </c>
      <c r="T51" s="1">
        <f t="shared" si="13"/>
        <v>47840</v>
      </c>
      <c r="U51" s="1">
        <f t="shared" si="13"/>
        <v>43080</v>
      </c>
      <c r="V51" s="1">
        <f t="shared" si="13"/>
        <v>52207.5</v>
      </c>
    </row>
    <row r="52" spans="1:22" x14ac:dyDescent="0.25">
      <c r="A52" t="s">
        <v>106</v>
      </c>
      <c r="E52" s="40">
        <v>-9710</v>
      </c>
      <c r="G52" s="40">
        <v>-26136</v>
      </c>
      <c r="H52" s="40">
        <v>-26602</v>
      </c>
      <c r="K52" s="38" t="s">
        <v>82</v>
      </c>
      <c r="T52" s="3">
        <f>T51+T50</f>
        <v>98873.5</v>
      </c>
      <c r="U52" s="3">
        <f>U51+U50</f>
        <v>99083</v>
      </c>
      <c r="V52" s="3">
        <f>V51+V50</f>
        <v>113023</v>
      </c>
    </row>
    <row r="53" spans="1:22" x14ac:dyDescent="0.25">
      <c r="A53" t="s">
        <v>107</v>
      </c>
      <c r="E53" s="3">
        <f>E50+E51+E52</f>
        <v>-18699</v>
      </c>
      <c r="G53" s="3">
        <f t="shared" ref="G53:H53" si="14">G50+G51+G52</f>
        <v>-12154</v>
      </c>
      <c r="H53" s="3">
        <f t="shared" si="14"/>
        <v>12209</v>
      </c>
      <c r="R53" t="s">
        <v>154</v>
      </c>
      <c r="T53" s="42">
        <f>T48/T52</f>
        <v>6.2837868589662546E-2</v>
      </c>
      <c r="U53" s="42">
        <f>U48/U52</f>
        <v>8.8501559298769725E-2</v>
      </c>
      <c r="V53" s="42">
        <f>V48/V52</f>
        <v>9.0733744459092394E-2</v>
      </c>
    </row>
    <row r="54" spans="1:22" x14ac:dyDescent="0.25">
      <c r="J54" t="s">
        <v>85</v>
      </c>
      <c r="R54" t="s">
        <v>156</v>
      </c>
    </row>
    <row r="55" spans="1:22" x14ac:dyDescent="0.25">
      <c r="K55" t="s">
        <v>87</v>
      </c>
    </row>
    <row r="56" spans="1:22" x14ac:dyDescent="0.25">
      <c r="A56" t="s">
        <v>110</v>
      </c>
      <c r="C56" t="s">
        <v>111</v>
      </c>
      <c r="K56" t="s">
        <v>86</v>
      </c>
    </row>
    <row r="57" spans="1:22" x14ac:dyDescent="0.25">
      <c r="A57" t="s">
        <v>108</v>
      </c>
      <c r="C57" s="41">
        <v>0.97</v>
      </c>
      <c r="D57" s="41"/>
      <c r="K57" t="s">
        <v>88</v>
      </c>
    </row>
    <row r="58" spans="1:22" x14ac:dyDescent="0.25">
      <c r="A58" t="s">
        <v>115</v>
      </c>
      <c r="C58" t="s">
        <v>116</v>
      </c>
    </row>
    <row r="59" spans="1:22" x14ac:dyDescent="0.25">
      <c r="A59" t="s">
        <v>109</v>
      </c>
      <c r="C59" t="s">
        <v>112</v>
      </c>
    </row>
    <row r="60" spans="1:22" x14ac:dyDescent="0.25">
      <c r="A60" t="s">
        <v>113</v>
      </c>
      <c r="C60" t="s">
        <v>114</v>
      </c>
    </row>
    <row r="61" spans="1:22" x14ac:dyDescent="0.25">
      <c r="A61" t="s">
        <v>117</v>
      </c>
      <c r="C61" t="s">
        <v>118</v>
      </c>
    </row>
    <row r="62" spans="1:22" x14ac:dyDescent="0.25">
      <c r="A62" t="s">
        <v>119</v>
      </c>
      <c r="C62" t="s">
        <v>120</v>
      </c>
    </row>
    <row r="63" spans="1:22" x14ac:dyDescent="0.25">
      <c r="A63" t="s">
        <v>121</v>
      </c>
      <c r="C63" t="s">
        <v>122</v>
      </c>
    </row>
    <row r="64" spans="1:22" x14ac:dyDescent="0.25">
      <c r="A64" t="s">
        <v>123</v>
      </c>
      <c r="C64" t="s">
        <v>124</v>
      </c>
    </row>
    <row r="65" spans="1:19" x14ac:dyDescent="0.25">
      <c r="C65" t="s">
        <v>125</v>
      </c>
    </row>
    <row r="66" spans="1:19" x14ac:dyDescent="0.25">
      <c r="A66" t="s">
        <v>113</v>
      </c>
      <c r="C66" t="s">
        <v>126</v>
      </c>
    </row>
    <row r="68" spans="1:19" x14ac:dyDescent="0.25">
      <c r="A68" s="2" t="s">
        <v>128</v>
      </c>
    </row>
    <row r="69" spans="1:19" x14ac:dyDescent="0.25">
      <c r="A69" t="s">
        <v>129</v>
      </c>
      <c r="C69" t="s">
        <v>130</v>
      </c>
      <c r="H69" t="s">
        <v>133</v>
      </c>
      <c r="K69" t="s">
        <v>134</v>
      </c>
      <c r="O69" t="s">
        <v>141</v>
      </c>
      <c r="R69" t="s">
        <v>143</v>
      </c>
      <c r="S69" t="s">
        <v>148</v>
      </c>
    </row>
    <row r="70" spans="1:19" x14ac:dyDescent="0.25">
      <c r="H70" s="2" t="s">
        <v>138</v>
      </c>
      <c r="K70" t="s">
        <v>139</v>
      </c>
      <c r="S70" t="s">
        <v>147</v>
      </c>
    </row>
    <row r="71" spans="1:19" x14ac:dyDescent="0.25">
      <c r="K71" t="s">
        <v>140</v>
      </c>
    </row>
    <row r="72" spans="1:19" x14ac:dyDescent="0.25">
      <c r="A72">
        <v>2017</v>
      </c>
      <c r="B72" t="s">
        <v>5</v>
      </c>
      <c r="C72" s="1">
        <v>33332</v>
      </c>
      <c r="D72" s="1" t="s">
        <v>132</v>
      </c>
      <c r="F72" s="1"/>
      <c r="H72">
        <v>2017</v>
      </c>
      <c r="I72" t="s">
        <v>135</v>
      </c>
      <c r="J72" s="1">
        <f>E50</f>
        <v>39474</v>
      </c>
      <c r="K72" s="1" t="s">
        <v>142</v>
      </c>
      <c r="O72">
        <v>2017</v>
      </c>
      <c r="P72" t="s">
        <v>144</v>
      </c>
      <c r="Q72" s="1">
        <v>94730</v>
      </c>
      <c r="R72" s="1" t="s">
        <v>146</v>
      </c>
    </row>
    <row r="73" spans="1:19" x14ac:dyDescent="0.25">
      <c r="B73" t="s">
        <v>131</v>
      </c>
      <c r="C73" s="1">
        <v>94730</v>
      </c>
      <c r="D73" s="42">
        <f>C72/C73</f>
        <v>0.35186319011928641</v>
      </c>
      <c r="F73" s="1"/>
      <c r="I73" t="s">
        <v>136</v>
      </c>
      <c r="J73" s="1">
        <f>70591-(33903-29390)</f>
        <v>66078</v>
      </c>
      <c r="K73" s="42">
        <f>J72/J73</f>
        <v>0.59738490874421135</v>
      </c>
      <c r="P73" t="s">
        <v>145</v>
      </c>
      <c r="Q73" s="1">
        <v>149115</v>
      </c>
      <c r="R73" s="42">
        <f>Q72/Q73</f>
        <v>0.6352814941488113</v>
      </c>
    </row>
    <row r="74" spans="1:19" x14ac:dyDescent="0.25">
      <c r="C74" s="1"/>
      <c r="D74" s="1"/>
      <c r="F74" s="1"/>
      <c r="J74" s="1"/>
      <c r="K74" s="1"/>
      <c r="Q74" s="1"/>
      <c r="R74" s="1"/>
    </row>
    <row r="75" spans="1:19" x14ac:dyDescent="0.25">
      <c r="A75">
        <v>2016</v>
      </c>
      <c r="B75" t="s">
        <v>5</v>
      </c>
      <c r="C75" s="1">
        <v>21799</v>
      </c>
      <c r="D75" s="1" t="s">
        <v>132</v>
      </c>
      <c r="F75" s="1"/>
      <c r="H75">
        <v>2016</v>
      </c>
      <c r="I75" t="s">
        <v>135</v>
      </c>
      <c r="J75" s="1">
        <f>G50</f>
        <v>33694</v>
      </c>
      <c r="K75" s="1" t="s">
        <v>142</v>
      </c>
      <c r="O75">
        <v>2016</v>
      </c>
      <c r="P75" t="s">
        <v>144</v>
      </c>
      <c r="Q75" s="1">
        <v>69071</v>
      </c>
      <c r="R75" s="1" t="s">
        <v>146</v>
      </c>
    </row>
    <row r="76" spans="1:19" x14ac:dyDescent="0.25">
      <c r="B76" t="s">
        <v>131</v>
      </c>
      <c r="C76" s="1">
        <v>69071</v>
      </c>
      <c r="D76" s="42">
        <f>C75/C76</f>
        <v>0.31560278553951732</v>
      </c>
      <c r="F76" s="1"/>
      <c r="I76" t="s">
        <v>136</v>
      </c>
      <c r="J76" s="1">
        <f>60378-(11486-9698)</f>
        <v>58590</v>
      </c>
      <c r="K76" s="42">
        <f>J75/J76</f>
        <v>0.57508107185526536</v>
      </c>
      <c r="P76" t="s">
        <v>145</v>
      </c>
      <c r="Q76" s="1">
        <v>118946</v>
      </c>
      <c r="R76" s="42">
        <f>Q75/Q76</f>
        <v>0.58069207875842821</v>
      </c>
    </row>
    <row r="77" spans="1:19" x14ac:dyDescent="0.25">
      <c r="C77" s="1"/>
      <c r="D77" s="1"/>
      <c r="F77" s="1"/>
      <c r="J77" s="1"/>
      <c r="K77" s="1"/>
      <c r="Q77" s="1"/>
      <c r="R77" s="1"/>
    </row>
    <row r="78" spans="1:19" x14ac:dyDescent="0.25">
      <c r="A78">
        <v>2015</v>
      </c>
      <c r="B78" t="s">
        <v>5</v>
      </c>
      <c r="C78" s="1">
        <v>17196</v>
      </c>
      <c r="D78" s="1" t="s">
        <v>132</v>
      </c>
      <c r="F78" s="1"/>
      <c r="H78">
        <v>2015</v>
      </c>
      <c r="I78" t="s">
        <v>135</v>
      </c>
      <c r="J78" s="1">
        <f>H50</f>
        <v>29854</v>
      </c>
      <c r="K78" s="1" t="s">
        <v>142</v>
      </c>
      <c r="O78">
        <v>2015</v>
      </c>
      <c r="P78" t="s">
        <v>144</v>
      </c>
      <c r="Q78" s="1">
        <v>39366</v>
      </c>
      <c r="R78" s="1" t="s">
        <v>146</v>
      </c>
    </row>
    <row r="79" spans="1:19" x14ac:dyDescent="0.25">
      <c r="B79" t="s">
        <v>131</v>
      </c>
      <c r="C79" s="1">
        <v>39366</v>
      </c>
      <c r="D79" s="42">
        <f>C78/C79</f>
        <v>0.43682365493065084</v>
      </c>
      <c r="F79" s="1"/>
      <c r="I79" t="s">
        <v>136</v>
      </c>
      <c r="J79" s="1">
        <f>42738-(43524-39062)</f>
        <v>38276</v>
      </c>
      <c r="K79" s="42">
        <f>J78/J79</f>
        <v>0.77996655867906783</v>
      </c>
      <c r="P79" t="s">
        <v>145</v>
      </c>
      <c r="Q79" s="1">
        <v>77098</v>
      </c>
      <c r="R79" s="42">
        <f>Q78/Q79</f>
        <v>0.51059690264338897</v>
      </c>
    </row>
    <row r="80" spans="1:19" x14ac:dyDescent="0.25">
      <c r="C80" s="1"/>
      <c r="D80" s="1"/>
      <c r="E80" s="1"/>
      <c r="F80" s="1"/>
    </row>
    <row r="81" spans="3:11" x14ac:dyDescent="0.25">
      <c r="C81" s="1"/>
      <c r="D81" s="1"/>
      <c r="E81" s="1"/>
      <c r="F81" s="1"/>
      <c r="I81" t="s">
        <v>136</v>
      </c>
      <c r="K81" s="43" t="s">
        <v>137</v>
      </c>
    </row>
    <row r="82" spans="3:11" x14ac:dyDescent="0.25">
      <c r="C82" s="1"/>
      <c r="D82" s="1"/>
      <c r="E82" s="1"/>
      <c r="F82" s="1"/>
    </row>
    <row r="83" spans="3:11" x14ac:dyDescent="0.25">
      <c r="C83" s="1"/>
      <c r="D83" s="1"/>
      <c r="E83" s="1"/>
      <c r="F83" s="1"/>
    </row>
    <row r="84" spans="3:11" x14ac:dyDescent="0.25">
      <c r="C84" s="1"/>
      <c r="D84" s="1"/>
      <c r="E84" s="1"/>
      <c r="F84" s="1"/>
    </row>
    <row r="85" spans="3:11" x14ac:dyDescent="0.25">
      <c r="C85" s="1"/>
      <c r="D85" s="1"/>
      <c r="E85" s="1"/>
      <c r="F85" s="1"/>
    </row>
    <row r="86" spans="3:11" x14ac:dyDescent="0.25">
      <c r="C86" s="1"/>
      <c r="D86" s="1"/>
      <c r="E86" s="1"/>
      <c r="F86" s="1"/>
    </row>
    <row r="87" spans="3:11" x14ac:dyDescent="0.25">
      <c r="C87" s="1"/>
      <c r="D87" s="1"/>
      <c r="E87" s="1"/>
      <c r="F87" s="1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FernUniversität Hagen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Univ.-Prof. Dr. Gerrit Brösel</dc:creator>
  <cp:lastModifiedBy>Univ.-Prof. Dr. Gerrit Brösel</cp:lastModifiedBy>
  <dcterms:created xsi:type="dcterms:W3CDTF">2018-03-17T10:52:28Z</dcterms:created>
  <dcterms:modified xsi:type="dcterms:W3CDTF">2018-03-22T12:54:53Z</dcterms:modified>
</cp:coreProperties>
</file>